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ME" sheetId="1" state="visible" r:id="rId1"/>
    <sheet xmlns:r="http://schemas.openxmlformats.org/officeDocument/2006/relationships" name="Matrix" sheetId="2" state="visible" r:id="rId2"/>
    <sheet xmlns:r="http://schemas.openxmlformats.org/officeDocument/2006/relationships" name="Summary" sheetId="3" state="visible" r:id="rId3"/>
    <sheet xmlns:r="http://schemas.openxmlformats.org/officeDocument/2006/relationships" name="Profile" sheetId="4" state="visible" r:id="rId4"/>
  </sheets>
  <definedNames>
    <definedName name="_xlnm._FilterDatabase" localSheetId="1" hidden="1">'Matrix'!$A$4:$Y$76</definedName>
    <definedName name="_xlnm.Print_Titles" localSheetId="1">'Matrix'!$4:$4</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mm/dd/yyyy"/>
  </numFmts>
  <fonts count="18">
    <font>
      <name val="Calibri"/>
      <charset val="1"/>
      <family val="2"/>
      <color theme="1"/>
      <sz val="11"/>
    </font>
    <font>
      <name val="Arial"/>
      <family val="0"/>
      <sz val="10"/>
    </font>
    <font>
      <name val="Arial"/>
      <family val="0"/>
      <sz val="10"/>
    </font>
    <font>
      <name val="Arial"/>
      <family val="0"/>
      <sz val="10"/>
    </font>
    <font>
      <name val="Arial"/>
      <charset val="1"/>
      <family val="0"/>
      <b val="1"/>
      <color rgb="FF29235C"/>
      <sz val="16"/>
    </font>
    <font>
      <name val="Arial"/>
      <charset val="1"/>
      <family val="0"/>
      <color rgb="FF5F5F6B"/>
      <sz val="9"/>
    </font>
    <font>
      <name val="Arial"/>
      <charset val="1"/>
      <family val="0"/>
      <b val="1"/>
      <color rgb="FF29235C"/>
      <sz val="10"/>
    </font>
    <font>
      <name val="Arial"/>
      <charset val="1"/>
      <family val="0"/>
      <color rgb="FF000000"/>
      <sz val="10"/>
    </font>
    <font>
      <name val="Arial"/>
      <charset val="1"/>
      <family val="0"/>
      <b val="1"/>
      <color rgb="FF29235C"/>
      <sz val="12"/>
    </font>
    <font>
      <name val="Arial"/>
      <charset val="1"/>
      <family val="0"/>
      <b val="1"/>
      <color rgb="FFFFFFFF"/>
      <sz val="10"/>
    </font>
    <font>
      <name val="Arial"/>
      <charset val="1"/>
      <family val="0"/>
      <color rgb="FF000000"/>
      <sz val="9"/>
    </font>
    <font>
      <name val="Arial"/>
      <charset val="1"/>
      <family val="0"/>
      <b val="1"/>
      <color rgb="FF000000"/>
      <sz val="9"/>
    </font>
    <font>
      <name val="Arial"/>
      <charset val="1"/>
      <family val="0"/>
      <color rgb="FF7A4E00"/>
      <sz val="9"/>
    </font>
    <font>
      <name val="Arial"/>
      <charset val="1"/>
      <family val="0"/>
      <b val="1"/>
      <color rgb="FF29235C"/>
      <sz val="13"/>
    </font>
    <font>
      <name val="Arial"/>
      <charset val="1"/>
      <family val="0"/>
      <b val="1"/>
      <color rgb="FF000000"/>
      <sz val="10"/>
    </font>
    <font>
      <name val="Arial"/>
      <charset val="1"/>
      <family val="0"/>
      <b val="1"/>
      <color rgb="FF29235C"/>
      <sz val="11"/>
    </font>
    <font>
      <name val="Arial"/>
      <charset val="1"/>
      <family val="0"/>
      <i val="1"/>
      <color rgb="FF5F5F6B"/>
      <sz val="9"/>
    </font>
    <font>
      <name val="Arial"/>
      <charset val="1"/>
      <family val="0"/>
      <i val="1"/>
      <color rgb="FF595959"/>
      <sz val="9"/>
    </font>
  </fonts>
  <fills count="6">
    <fill>
      <patternFill/>
    </fill>
    <fill>
      <patternFill patternType="gray125"/>
    </fill>
    <fill>
      <patternFill patternType="solid">
        <fgColor rgb="FF29235C"/>
        <bgColor rgb="FF333399"/>
      </patternFill>
    </fill>
    <fill>
      <patternFill patternType="solid">
        <fgColor rgb="FF6B5B12"/>
        <bgColor rgb="FF7A4E00"/>
      </patternFill>
    </fill>
    <fill>
      <patternFill patternType="solid">
        <fgColor rgb="FFFFFBEA"/>
        <bgColor rgb="FFFFFFFF"/>
      </patternFill>
    </fill>
    <fill>
      <patternFill patternType="solid">
        <fgColor rgb="FFFFF2A8"/>
        <bgColor rgb="FFFFFBEA"/>
      </patternFill>
    </fill>
  </fills>
  <borders count="2">
    <border>
      <left/>
      <right/>
      <top/>
      <bottom/>
      <diagonal/>
    </border>
    <border>
      <left style="thin">
        <color rgb="FFC9C7DA"/>
      </left>
      <right style="thin">
        <color rgb="FFC9C7DA"/>
      </right>
      <top style="thin">
        <color rgb="FFC9C7DA"/>
      </top>
      <bottom style="thin">
        <color rgb="FFC9C7DA"/>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8">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5"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0" borderId="1" applyAlignment="1" pivotButton="0" quotePrefix="0" xfId="0">
      <alignment horizontal="general" vertical="top" wrapText="1"/>
    </xf>
    <xf numFmtId="0" fontId="11" fillId="0" borderId="1" applyAlignment="1" pivotButton="0" quotePrefix="0" xfId="0">
      <alignment horizontal="general" vertical="top" wrapText="1"/>
    </xf>
    <xf numFmtId="0" fontId="10" fillId="0" borderId="1" applyAlignment="1" pivotButton="0" quotePrefix="0" xfId="0">
      <alignment horizontal="center" vertical="top" wrapText="1"/>
    </xf>
    <xf numFmtId="0" fontId="10" fillId="4" borderId="1" applyAlignment="1" pivotButton="0" quotePrefix="0" xfId="0">
      <alignment horizontal="center" vertical="top" wrapText="1"/>
    </xf>
    <xf numFmtId="0" fontId="10" fillId="4" borderId="1" applyAlignment="1" pivotButton="0" quotePrefix="0" xfId="0">
      <alignment horizontal="general" vertical="top" wrapText="1"/>
    </xf>
    <xf numFmtId="0" fontId="11" fillId="0" borderId="1" applyAlignment="1" pivotButton="0" quotePrefix="0" xfId="0">
      <alignment horizontal="center" vertical="top" wrapText="1"/>
    </xf>
    <xf numFmtId="164" fontId="10" fillId="4" borderId="1" applyAlignment="1" pivotButton="0" quotePrefix="0" xfId="0">
      <alignment horizontal="center" vertical="top" wrapText="1"/>
    </xf>
    <xf numFmtId="0" fontId="10" fillId="0" borderId="1" applyAlignment="1" pivotButton="0" quotePrefix="0" xfId="0">
      <alignment horizontal="general" vertical="bottom"/>
    </xf>
    <xf numFmtId="0" fontId="12" fillId="0" borderId="1" applyAlignment="1" pivotButton="0" quotePrefix="0" xfId="0">
      <alignment horizontal="general" vertical="top" wrapText="1"/>
    </xf>
    <xf numFmtId="0" fontId="13" fillId="0" borderId="0" applyAlignment="1" pivotButton="0" quotePrefix="0" xfId="0">
      <alignment horizontal="general" vertical="bottom"/>
    </xf>
    <xf numFmtId="0" fontId="14" fillId="0" borderId="1" applyAlignment="1" pivotButton="0" quotePrefix="0" xfId="0">
      <alignment horizontal="general" vertical="top" wrapText="1"/>
    </xf>
    <xf numFmtId="0" fontId="7" fillId="0" borderId="1" applyAlignment="1" pivotButton="0" quotePrefix="0" xfId="0">
      <alignment horizontal="center" vertical="top" wrapText="1"/>
    </xf>
    <xf numFmtId="0" fontId="14" fillId="0" borderId="1" applyAlignment="1" pivotButton="0" quotePrefix="0" xfId="0">
      <alignment horizontal="center" vertical="top" wrapText="1"/>
    </xf>
    <xf numFmtId="0" fontId="15" fillId="0" borderId="0" applyAlignment="1" pivotButton="0" quotePrefix="0" xfId="0">
      <alignment horizontal="general" vertical="top"/>
    </xf>
    <xf numFmtId="0" fontId="7" fillId="0" borderId="1" applyAlignment="1" pivotButton="0" quotePrefix="0" xfId="0">
      <alignment horizontal="general" vertical="top" wrapText="1"/>
    </xf>
    <xf numFmtId="0" fontId="16" fillId="0" borderId="0" applyAlignment="1" pivotButton="0" quotePrefix="0" xfId="0">
      <alignment horizontal="general" vertical="bottom"/>
    </xf>
    <xf numFmtId="0" fontId="17" fillId="4" borderId="1" applyAlignment="1" pivotButton="0" quotePrefix="0" xfId="0">
      <alignment horizontal="center" vertical="top" wrapText="1"/>
    </xf>
    <xf numFmtId="0" fontId="5" fillId="0" borderId="1" applyAlignment="1" pivotButton="0" quotePrefix="0" xfId="0">
      <alignment horizontal="general" vertical="top" wrapText="1"/>
    </xf>
    <xf numFmtId="0" fontId="14" fillId="0" borderId="0" applyAlignment="1" pivotButton="0" quotePrefix="0" xfId="0">
      <alignment horizontal="general" vertical="bottom"/>
    </xf>
    <xf numFmtId="164" fontId="0" fillId="5"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0" borderId="1" applyAlignment="1" pivotButton="0" quotePrefix="0" xfId="0">
      <alignment horizontal="general" vertical="top" wrapText="1"/>
    </xf>
    <xf numFmtId="0" fontId="11" fillId="0" borderId="1" applyAlignment="1" pivotButton="0" quotePrefix="0" xfId="0">
      <alignment horizontal="general" vertical="top" wrapText="1"/>
    </xf>
    <xf numFmtId="0" fontId="10" fillId="0" borderId="1" applyAlignment="1" pivotButton="0" quotePrefix="0" xfId="0">
      <alignment horizontal="center" vertical="top" wrapText="1"/>
    </xf>
    <xf numFmtId="0" fontId="10" fillId="4" borderId="1" applyAlignment="1" pivotButton="0" quotePrefix="0" xfId="0">
      <alignment horizontal="center" vertical="top" wrapText="1"/>
    </xf>
    <xf numFmtId="0" fontId="10" fillId="4" borderId="1" applyAlignment="1" pivotButton="0" quotePrefix="0" xfId="0">
      <alignment horizontal="general" vertical="top" wrapText="1"/>
    </xf>
    <xf numFmtId="0" fontId="11" fillId="0" borderId="1" applyAlignment="1" pivotButton="0" quotePrefix="0" xfId="0">
      <alignment horizontal="center" vertical="top" wrapText="1"/>
    </xf>
    <xf numFmtId="164" fontId="10" fillId="4" borderId="1" applyAlignment="1" pivotButton="0" quotePrefix="0" xfId="0">
      <alignment horizontal="center" vertical="top" wrapText="1"/>
    </xf>
    <xf numFmtId="0" fontId="10" fillId="0" borderId="1" applyAlignment="1" pivotButton="0" quotePrefix="0" xfId="0">
      <alignment horizontal="general" vertical="bottom"/>
    </xf>
    <xf numFmtId="0" fontId="12" fillId="0" borderId="1" applyAlignment="1" pivotButton="0" quotePrefix="0" xfId="0">
      <alignment horizontal="general" vertical="top" wrapText="1"/>
    </xf>
    <xf numFmtId="0" fontId="13" fillId="0" borderId="0" applyAlignment="1" pivotButton="0" quotePrefix="0" xfId="0">
      <alignment horizontal="general" vertical="bottom"/>
    </xf>
    <xf numFmtId="0" fontId="14" fillId="0" borderId="1" applyAlignment="1" pivotButton="0" quotePrefix="0" xfId="0">
      <alignment horizontal="general" vertical="top" wrapText="1"/>
    </xf>
    <xf numFmtId="0" fontId="7" fillId="0" borderId="1" applyAlignment="1" pivotButton="0" quotePrefix="0" xfId="0">
      <alignment horizontal="center" vertical="top" wrapText="1"/>
    </xf>
    <xf numFmtId="0" fontId="14" fillId="0" borderId="1" applyAlignment="1" pivotButton="0" quotePrefix="0" xfId="0">
      <alignment horizontal="center" vertical="top" wrapText="1"/>
    </xf>
    <xf numFmtId="0" fontId="15" fillId="0" borderId="0" applyAlignment="1" pivotButton="0" quotePrefix="0" xfId="0">
      <alignment horizontal="general" vertical="top"/>
    </xf>
    <xf numFmtId="0" fontId="7" fillId="0" borderId="1" applyAlignment="1" pivotButton="0" quotePrefix="0" xfId="0">
      <alignment horizontal="general" vertical="top" wrapText="1"/>
    </xf>
    <xf numFmtId="0" fontId="16" fillId="0" borderId="0" applyAlignment="1" pivotButton="0" quotePrefix="0" xfId="0">
      <alignment horizontal="general" vertical="top" wrapText="1"/>
    </xf>
    <xf numFmtId="0" fontId="17" fillId="4" borderId="1" applyAlignment="1" pivotButton="0" quotePrefix="0" xfId="0">
      <alignment horizontal="center" vertical="top" wrapText="1"/>
    </xf>
    <xf numFmtId="0" fontId="5" fillId="0" borderId="1" applyAlignment="1" pivotButton="0" quotePrefix="0" xfId="0">
      <alignment horizontal="general" vertical="top" wrapText="1"/>
    </xf>
    <xf numFmtId="0" fontId="14" fillId="0" borderId="0" applyAlignment="1" pivotButton="0" quotePrefix="0" xfId="0">
      <alignment horizontal="general" vertical="bottom"/>
    </xf>
    <xf numFmtId="164" fontId="0" fillId="5"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5">
    <dxf>
      <fill>
        <patternFill patternType="solid">
          <fgColor rgb="FF29235C"/>
          <bgColor rgb="FF000000"/>
        </patternFill>
      </fill>
    </dxf>
    <dxf>
      <fill>
        <patternFill patternType="solid">
          <fgColor rgb="FFFFFBEA"/>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6B5B12"/>
          <bgColor rgb="FF000000"/>
        </patternFill>
      </fill>
    </dxf>
    <dxf>
      <fill>
        <patternFill patternType="solid">
          <fgColor rgb="FFD9EAD3"/>
          <bgColor rgb="FF000000"/>
        </patternFill>
      </fill>
    </dxf>
    <dxf>
      <fill>
        <patternFill patternType="solid">
          <fgColor rgb="FF999999"/>
          <bgColor rgb="FF000000"/>
        </patternFill>
      </fill>
    </dxf>
    <dxf>
      <fill>
        <patternFill patternType="solid">
          <fgColor rgb="FFECEBF4"/>
          <bgColor rgb="FF000000"/>
        </patternFill>
      </fill>
    </dxf>
    <dxf>
      <fill>
        <patternFill patternType="solid">
          <fgColor rgb="FF7A4E00"/>
          <bgColor rgb="FF000000"/>
        </patternFill>
      </fill>
    </dxf>
    <dxf>
      <fill>
        <patternFill patternType="solid">
          <fgColor rgb="FFC00000"/>
          <bgColor rgb="FF000000"/>
        </patternFill>
      </fill>
    </dxf>
    <dxf>
      <fill>
        <patternFill>
          <bgColor rgb="FFD9EAD3"/>
        </patternFill>
      </fill>
    </dxf>
    <dxf>
      <font>
        <name val="Arial"/>
        <charset val="1"/>
        <family val="0"/>
        <color rgb="FF999999"/>
        <sz val="9"/>
      </font>
    </dxf>
    <dxf>
      <fill>
        <patternFill>
          <bgColor rgb="FFECEBF4"/>
        </patternFill>
      </fill>
    </dxf>
    <dxf>
      <font>
        <name val="Arial"/>
        <charset val="1"/>
        <family val="0"/>
        <b val="1"/>
        <color rgb="FFC00000"/>
        <sz val="9"/>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6B5B12"/>
      <rgbColor rgb="FF800080"/>
      <rgbColor rgb="FF008080"/>
      <rgbColor rgb="FFC9C7DA"/>
      <rgbColor rgb="FF595959"/>
      <rgbColor rgb="FF9999FF"/>
      <rgbColor rgb="FF993366"/>
      <rgbColor rgb="FFFFFBEA"/>
      <rgbColor rgb="FFECEB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2A8"/>
      <rgbColor rgb="FF99CCFF"/>
      <rgbColor rgb="FFFF99CC"/>
      <rgbColor rgb="FFCC99FF"/>
      <rgbColor rgb="FFFFCC99"/>
      <rgbColor rgb="FF3366FF"/>
      <rgbColor rgb="FF33CCCC"/>
      <rgbColor rgb="FF99CC00"/>
      <rgbColor rgb="FFFFCC00"/>
      <rgbColor rgb="FFFF9900"/>
      <rgbColor rgb="FFFF6600"/>
      <rgbColor rgb="FF5F5F6B"/>
      <rgbColor rgb="FF999999"/>
      <rgbColor rgb="FF003366"/>
      <rgbColor rgb="FF339966"/>
      <rgbColor rgb="FF003300"/>
      <rgbColor rgb="FF333300"/>
      <rgbColor rgb="FF7A4E00"/>
      <rgbColor rgb="FF993366"/>
      <rgbColor rgb="FF333399"/>
      <rgbColor rgb="FF29235C"/>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1</col>
      <colOff>0</colOff>
      <row>0</row>
      <rowOff>0</rowOff>
    </from>
    <to>
      <col>1</col>
      <colOff>1523520</colOff>
      <row>4</row>
      <rowOff>75600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0"/>
          <a:ext cx="1523520" cy="83772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B7:C15"/>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29" min="1" max="1"/>
    <col width="24" customWidth="1" style="29" min="2" max="2"/>
    <col width="100" customWidth="1" style="29" min="3" max="3"/>
  </cols>
  <sheetData>
    <row r="7" ht="19.7" customHeight="1" s="30">
      <c r="B7" s="31" t="inlineStr">
        <is>
          <t>Regulatory Applicability Matrix</t>
        </is>
      </c>
    </row>
    <row r="8" ht="15" customHeight="1" s="30">
      <c r="B8" s="32" t="inlineStr">
        <is>
          <t>KCG-TLS-01  |  Version 1.0  |  Shared (Fintechs, Banks, and Credit Unions)  |  Regulatory content current as of October 10, 2026</t>
        </is>
      </c>
    </row>
    <row r="10" ht="90" customHeight="1" s="30">
      <c r="B10" s="33" t="inlineStr">
        <is>
          <t>What this is</t>
        </is>
      </c>
      <c r="C10" s="34" t="inlineStr">
        <is>
          <t>The list of laws, rules, and binding standards that apply to the institution's products, by lifecycle stage, with how each applies to a fintech in a sponsor bank program versus a bank, the library documents that address it, and current status notes. Answer the Profile questions and the matrix calculates applicability; you confirm, override with a reason, assign owners, and record which policies you have adopted. Other KCG documents point here as the source of truth for what applies.</t>
        </is>
      </c>
    </row>
    <row r="11" ht="90" customHeight="1" s="30">
      <c r="B11" s="33" t="inlineStr">
        <is>
          <t>How to use it</t>
        </is>
      </c>
      <c r="C11" s="34" t="inlineStr">
        <is>
          <t>1) Profile: answer each question.  2) Matrix: review the calculated result for every row; enter an override (Yes or No) with a reason wherever your facts differ.  3) Add rows for state laws, licenses, and anything else specific to you (blank rows at the bottom).  4) Assign an owner and record whether a policy is adopted and when the row was last reviewed.  5) Clear the Check column.  6) Review the matrix at least annually and whenever products, states, or laws change, and use it to scope the compliance risk assessment.</t>
        </is>
      </c>
    </row>
    <row r="12" ht="60" customHeight="1" s="30">
      <c r="B12" s="33" t="inlineStr">
        <is>
          <t>Limits</t>
        </is>
      </c>
      <c r="C12" s="34" t="inlineStr">
        <is>
          <t>This matrix covers federal consumer, BSA/AML, sanctions, privacy, and key governance requirements for deposit, payment, card, and consumer and small business lending products. It does not cover mortgage lending, securities, insurance, or most state-specific requirements, which you must add. Applicability depends on facts; confirm close calls with counsel.</t>
        </is>
      </c>
    </row>
    <row r="13" ht="30" customHeight="1" s="30">
      <c r="B13" s="33" t="inlineStr">
        <is>
          <t>Currency notes</t>
        </is>
      </c>
      <c r="C13" s="34" t="inlineStr">
        <is>
          <t>The currency column flags 2025–2026 developments known as of October 10, 2026. Verify each before relying on it.</t>
        </is>
      </c>
    </row>
    <row r="14" ht="30" customHeight="1" s="30">
      <c r="B14" s="33" t="inlineStr">
        <is>
          <t>Not legal advice</t>
        </is>
      </c>
      <c r="C14" s="34" t="inlineStr">
        <is>
          <t>This tool is a template for general informational purposes. Confirm current requirements and consult counsel where appropriate.</t>
        </is>
      </c>
    </row>
    <row r="15" ht="60" customHeight="1" s="30">
      <c r="B15" s="33" t="inlineStr">
        <is>
          <t>License</t>
        </is>
      </c>
      <c r="C15" s="34" t="inlineStr">
        <is>
          <t>© 2026 Key Compliance Group, LLC. All rights reserved. Provided free of charge. Licensed, not sold, to the institution that downloads it, for internal use in its own compliance program, including sharing completed versions with its sponsor bank, regulators, auditors, and advisors. No resale, sublicensing, publication, or other distribution without written permission from Key Compliance Group, LLC. keycompliancegroup.com</t>
        </is>
      </c>
    </row>
  </sheetData>
  <mergeCells count="2">
    <mergeCell ref="B8:C8"/>
    <mergeCell ref="B7:C7"/>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Y76"/>
  <sheetViews>
    <sheetView showFormulas="0" showGridLines="0" showRowColHeaders="1" showZeros="1" rightToLeft="0" tabSelected="0" showOutlineSymbols="1" defaultGridColor="1"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baseColWidth="8" defaultColWidth="8.6796875" defaultRowHeight="15" zeroHeight="0" outlineLevelRow="0"/>
  <cols>
    <col width="7" customWidth="1" style="29" min="1" max="1"/>
    <col width="14" customWidth="1" style="29" min="2" max="2"/>
    <col width="30" customWidth="1" style="29" min="3" max="3"/>
    <col width="26" customWidth="1" style="29" min="4" max="4"/>
    <col width="13" customWidth="1" style="29" min="5" max="5"/>
    <col width="34" customWidth="1" style="29" min="6" max="6"/>
    <col width="12" customWidth="1" style="29" min="7" max="7"/>
    <col width="12" customWidth="1" style="29" min="8" max="8"/>
    <col width="9" customWidth="1" style="29" min="9" max="9"/>
    <col width="20" customWidth="1" style="29" min="10" max="10"/>
    <col width="10" customWidth="1" style="29" min="11" max="11"/>
    <col width="30" customWidth="1" style="29" min="12" max="12"/>
    <col width="4" customWidth="1" style="29" min="13" max="13"/>
    <col width="4" customWidth="1" style="30" min="14" max="14"/>
    <col width="4" customWidth="1" style="30" min="15" max="15"/>
    <col width="4" customWidth="1" style="30" min="16" max="16"/>
    <col width="4" customWidth="1" style="30" min="17" max="17"/>
    <col width="4" customWidth="1" style="30" min="18" max="18"/>
    <col width="4" customWidth="1" style="30" min="19" max="19"/>
    <col width="18" customWidth="1" style="29" min="20" max="20"/>
    <col width="30" customWidth="1" style="29" min="21" max="21"/>
    <col width="14" customWidth="1" style="29" min="22" max="22"/>
    <col width="9" customWidth="1" style="29" min="23" max="23"/>
    <col width="11" customWidth="1" style="29" min="24" max="24"/>
    <col width="28" customWidth="1" style="29" min="25" max="25"/>
  </cols>
  <sheetData>
    <row r="1" ht="15" customHeight="1" s="30">
      <c r="A1" s="35" t="inlineStr">
        <is>
          <t>Regulatory Applicability Matrix  ·  KCG-TLS-01 v1.0</t>
        </is>
      </c>
    </row>
    <row r="2" ht="15" customHeight="1" s="30">
      <c r="A2" s="32">
        <f>"[Institution]  ·  Profile: "&amp;Profile!C5&amp;"  ·  Reviewed: [MM/DD/YYYY] by [CCO]  ·  M = Marketing, O = Onboarding, D = Disclosures, S = Servicing and transactions, E = Errors and disputes, C = Collections, R = Records and closure"</f>
        <v/>
      </c>
    </row>
    <row r="4" ht="54" customHeight="1" s="30">
      <c r="A4" s="36" t="inlineStr">
        <is>
          <t>ID</t>
        </is>
      </c>
      <c r="B4" s="36" t="inlineStr">
        <is>
          <t>Domain</t>
        </is>
      </c>
      <c r="C4" s="36" t="inlineStr">
        <is>
          <t>Law or rule</t>
        </is>
      </c>
      <c r="D4" s="36" t="inlineStr">
        <is>
          <t>Citation</t>
        </is>
      </c>
      <c r="E4" s="36" t="inlineStr">
        <is>
          <t>Agency</t>
        </is>
      </c>
      <c r="F4" s="36" t="inlineStr">
        <is>
          <t>What it covers</t>
        </is>
      </c>
      <c r="G4" s="36" t="inlineStr">
        <is>
          <t>Product triggers</t>
        </is>
      </c>
      <c r="H4" s="36" t="inlineStr">
        <is>
          <t>Calculated: applies?</t>
        </is>
      </c>
      <c r="I4" s="37" t="inlineStr">
        <is>
          <t>Override (Yes / No)</t>
        </is>
      </c>
      <c r="J4" s="37" t="inlineStr">
        <is>
          <t>Override reason</t>
        </is>
      </c>
      <c r="K4" s="36" t="inlineStr">
        <is>
          <t>Applies?</t>
        </is>
      </c>
      <c r="L4" s="36" t="inlineStr">
        <is>
          <t>How it applies to you</t>
        </is>
      </c>
      <c r="M4" s="36" t="inlineStr">
        <is>
          <t>M</t>
        </is>
      </c>
      <c r="N4" s="36" t="inlineStr">
        <is>
          <t>O</t>
        </is>
      </c>
      <c r="O4" s="36" t="inlineStr">
        <is>
          <t>D</t>
        </is>
      </c>
      <c r="P4" s="36" t="inlineStr">
        <is>
          <t>S</t>
        </is>
      </c>
      <c r="Q4" s="36" t="inlineStr">
        <is>
          <t>E</t>
        </is>
      </c>
      <c r="R4" s="36" t="inlineStr">
        <is>
          <t>C</t>
        </is>
      </c>
      <c r="S4" s="36" t="inlineStr">
        <is>
          <t>R</t>
        </is>
      </c>
      <c r="T4" s="36" t="inlineStr">
        <is>
          <t>Library documents</t>
        </is>
      </c>
      <c r="U4" s="36" t="inlineStr">
        <is>
          <t>Currency note (as of Oct. 10, 2026)</t>
        </is>
      </c>
      <c r="V4" s="37" t="inlineStr">
        <is>
          <t>Owner</t>
        </is>
      </c>
      <c r="W4" s="37" t="inlineStr">
        <is>
          <t>Policy adopted? (Yes / No)</t>
        </is>
      </c>
      <c r="X4" s="37" t="inlineStr">
        <is>
          <t>Last reviewed</t>
        </is>
      </c>
      <c r="Y4" s="36" t="inlineStr">
        <is>
          <t>Check</t>
        </is>
      </c>
    </row>
    <row r="5" ht="39.75" customHeight="1" s="30">
      <c r="A5" s="38" t="inlineStr">
        <is>
          <t>R-01</t>
        </is>
      </c>
      <c r="B5" s="38" t="inlineStr">
        <is>
          <t>Deposits &amp; payments</t>
        </is>
      </c>
      <c r="C5" s="39" t="inlineStr">
        <is>
          <t>Electronic Fund Transfer Act / Regulation E</t>
        </is>
      </c>
      <c r="D5" s="38" t="inlineStr">
        <is>
          <t>15 U.S.C. 1693 et seq.; 12 CFR 1005 (Subpart A)</t>
        </is>
      </c>
      <c r="E5" s="38" t="inlineStr">
        <is>
          <t>CFPB</t>
        </is>
      </c>
      <c r="F5" s="38" t="inlineStr">
        <is>
          <t>Consumer EFTs: disclosures, error resolution, liability limits, overdraft opt-in, prepaid accounts</t>
        </is>
      </c>
      <c r="G5" s="38" t="inlineStr">
        <is>
          <t>P1, P4, P5, P10</t>
        </is>
      </c>
      <c r="H5" s="40">
        <f>IF(AND(TRUE(),OR(Profile!$C$6="Yes",Profile!$C$9="Yes",Profile!$C$10="Yes",Profile!$C$15="Yes")),"Yes","No")</f>
        <v/>
      </c>
      <c r="I5" s="41" t="n"/>
      <c r="J5" s="42" t="n"/>
      <c r="K5" s="43">
        <f>IF(I5&lt;&gt;"",I5,H5)</f>
        <v/>
      </c>
      <c r="L5" s="38">
        <f>IF(K5="No","Not applicable",IF(Profile!$C$5="Fintech (sponsor bank program)","Direct as a Reg E financial institution if it issues access devices or holds accounts; otherwise performs for the Sponsor Bank","Direct"))</f>
        <v/>
      </c>
      <c r="M5" s="40" t="inlineStr">
        <is>
          <t>X</t>
        </is>
      </c>
      <c r="N5" s="40" t="inlineStr">
        <is>
          <t>X</t>
        </is>
      </c>
      <c r="O5" s="40" t="inlineStr">
        <is>
          <t>X</t>
        </is>
      </c>
      <c r="P5" s="40" t="inlineStr">
        <is>
          <t>X</t>
        </is>
      </c>
      <c r="Q5" s="40" t="inlineStr">
        <is>
          <t>X</t>
        </is>
      </c>
      <c r="R5" s="40" t="n"/>
      <c r="S5" s="40" t="inlineStr">
        <is>
          <t>X</t>
        </is>
      </c>
      <c r="T5" s="38" t="inlineStr">
        <is>
          <t>DEP-POL-01; DEP-PRO-01</t>
        </is>
      </c>
      <c r="U5" s="38" t="n"/>
      <c r="V5" s="42" t="n"/>
      <c r="W5" s="41" t="n"/>
      <c r="X5" s="44" t="n"/>
      <c r="Y5" s="45">
        <f>IF(OR(C5="",K5&lt;&gt;"Yes"),"",IF(AND(I5&lt;&gt;"",J5=""),"Explain the override",IF(V5="","Assign an owner",IF(W5&lt;&gt;"Yes","No adopted policy",IF(OR(X5="",Profile!$B$30&gt;X5+365),"Review overdue","")))))</f>
        <v/>
      </c>
    </row>
    <row r="6" ht="39.75" customHeight="1" s="30">
      <c r="A6" s="38" t="inlineStr">
        <is>
          <t>R-02</t>
        </is>
      </c>
      <c r="B6" s="38" t="inlineStr">
        <is>
          <t>Deposits &amp; payments</t>
        </is>
      </c>
      <c r="C6" s="39" t="inlineStr">
        <is>
          <t>Remittance Transfer Rule</t>
        </is>
      </c>
      <c r="D6" s="38" t="inlineStr">
        <is>
          <t>12 CFR 1005.30–1005.36</t>
        </is>
      </c>
      <c r="E6" s="38" t="inlineStr">
        <is>
          <t>CFPB</t>
        </is>
      </c>
      <c r="F6" s="38" t="inlineStr">
        <is>
          <t>Consumer international transfers: disclosures, cancellation, error resolution</t>
        </is>
      </c>
      <c r="G6" s="38" t="inlineStr">
        <is>
          <t>P9</t>
        </is>
      </c>
      <c r="H6" s="40">
        <f>IF(AND(TRUE(),Profile!$C$14="Yes"),"Yes","No")</f>
        <v/>
      </c>
      <c r="I6" s="41" t="n"/>
      <c r="J6" s="42" t="n"/>
      <c r="K6" s="43">
        <f>IF(I6&lt;&gt;"",I6,H6)</f>
        <v/>
      </c>
      <c r="L6" s="38">
        <f>IF(K6="No","Not applicable",IF(Profile!$C$5="Fintech (sponsor bank program)","Direct as remittance transfer provider","Direct"))</f>
        <v/>
      </c>
      <c r="M6" s="40" t="n"/>
      <c r="N6" s="40" t="inlineStr">
        <is>
          <t>X</t>
        </is>
      </c>
      <c r="O6" s="40" t="inlineStr">
        <is>
          <t>X</t>
        </is>
      </c>
      <c r="P6" s="40" t="inlineStr">
        <is>
          <t>X</t>
        </is>
      </c>
      <c r="Q6" s="40" t="inlineStr">
        <is>
          <t>X</t>
        </is>
      </c>
      <c r="R6" s="40" t="n"/>
      <c r="S6" s="40" t="inlineStr">
        <is>
          <t>X</t>
        </is>
      </c>
      <c r="T6" s="38" t="inlineStr">
        <is>
          <t>DEP-POL-11</t>
        </is>
      </c>
      <c r="U6" s="46" t="inlineStr">
        <is>
          <t>Final rule changes expected [verify]</t>
        </is>
      </c>
      <c r="V6" s="42" t="n"/>
      <c r="W6" s="41" t="n"/>
      <c r="X6" s="44" t="n"/>
      <c r="Y6" s="45">
        <f>IF(OR(C6="",K6&lt;&gt;"Yes"),"",IF(AND(I6&lt;&gt;"",J6=""),"Explain the override",IF(V6="","Assign an owner",IF(W6&lt;&gt;"Yes","No adopted policy",IF(OR(X6="",Profile!$B$30&gt;X6+365),"Review overdue","")))))</f>
        <v/>
      </c>
    </row>
    <row r="7" ht="39.75" customHeight="1" s="30">
      <c r="A7" s="38" t="inlineStr">
        <is>
          <t>R-03</t>
        </is>
      </c>
      <c r="B7" s="38" t="inlineStr">
        <is>
          <t>Deposits &amp; payments</t>
        </is>
      </c>
      <c r="C7" s="39" t="inlineStr">
        <is>
          <t>Truth in Savings Act / Regulation DD</t>
        </is>
      </c>
      <c r="D7" s="38" t="inlineStr">
        <is>
          <t>12 U.S.C. 4301 et seq.; 12 CFR 1030 (NCUA: 12 CFR 707)</t>
        </is>
      </c>
      <c r="E7" s="38" t="inlineStr">
        <is>
          <t>CFPB / NCUA</t>
        </is>
      </c>
      <c r="F7" s="38" t="inlineStr">
        <is>
          <t>Deposit account disclosures, advertising (APY), periodic statements</t>
        </is>
      </c>
      <c r="G7" s="38" t="inlineStr">
        <is>
          <t>P1, P3</t>
        </is>
      </c>
      <c r="H7" s="40">
        <f>IF(AND(TRUE(),OR(Profile!$C$6="Yes",Profile!$C$8="Yes")),"Yes","No")</f>
        <v/>
      </c>
      <c r="I7" s="41" t="n"/>
      <c r="J7" s="42" t="n"/>
      <c r="K7" s="43">
        <f>IF(I7&lt;&gt;"",I7,H7)</f>
        <v/>
      </c>
      <c r="L7" s="38">
        <f>IF(K7="No","Not applicable",IF(Profile!$C$5="Fintech (sponsor bank program)","Performs disclosures and advertising for the Sponsor Bank","Direct"))</f>
        <v/>
      </c>
      <c r="M7" s="40" t="inlineStr">
        <is>
          <t>X</t>
        </is>
      </c>
      <c r="N7" s="40" t="inlineStr">
        <is>
          <t>X</t>
        </is>
      </c>
      <c r="O7" s="40" t="inlineStr">
        <is>
          <t>X</t>
        </is>
      </c>
      <c r="P7" s="40" t="inlineStr">
        <is>
          <t>X</t>
        </is>
      </c>
      <c r="Q7" s="40" t="n"/>
      <c r="R7" s="40" t="n"/>
      <c r="S7" s="40" t="inlineStr">
        <is>
          <t>X</t>
        </is>
      </c>
      <c r="T7" s="38" t="inlineStr">
        <is>
          <t>DEP-POL-02</t>
        </is>
      </c>
      <c r="U7" s="38" t="n"/>
      <c r="V7" s="42" t="n"/>
      <c r="W7" s="41" t="n"/>
      <c r="X7" s="44" t="n"/>
      <c r="Y7" s="45">
        <f>IF(OR(C7="",K7&lt;&gt;"Yes"),"",IF(AND(I7&lt;&gt;"",J7=""),"Explain the override",IF(V7="","Assign an owner",IF(W7&lt;&gt;"Yes","No adopted policy",IF(OR(X7="",Profile!$B$30&gt;X7+365),"Review overdue","")))))</f>
        <v/>
      </c>
    </row>
    <row r="8" ht="39.75" customHeight="1" s="30">
      <c r="A8" s="38" t="inlineStr">
        <is>
          <t>R-04</t>
        </is>
      </c>
      <c r="B8" s="38" t="inlineStr">
        <is>
          <t>Deposits &amp; payments</t>
        </is>
      </c>
      <c r="C8" s="39" t="inlineStr">
        <is>
          <t>Expedited Funds Availability Act / Regulation CC</t>
        </is>
      </c>
      <c r="D8" s="38" t="inlineStr">
        <is>
          <t>12 U.S.C. 4001 et seq.; 12 CFR 229</t>
        </is>
      </c>
      <c r="E8" s="38" t="inlineStr">
        <is>
          <t>Federal Reserve</t>
        </is>
      </c>
      <c r="F8" s="38" t="inlineStr">
        <is>
          <t>Funds availability schedules, holds, and disclosures</t>
        </is>
      </c>
      <c r="G8" s="38" t="inlineStr">
        <is>
          <t>P1, P3</t>
        </is>
      </c>
      <c r="H8" s="40">
        <f>IF(AND(TRUE(),OR(Profile!$C$6="Yes",Profile!$C$8="Yes")),"Yes","No")</f>
        <v/>
      </c>
      <c r="I8" s="41" t="n"/>
      <c r="J8" s="42" t="n"/>
      <c r="K8" s="43">
        <f>IF(I8&lt;&gt;"",I8,H8)</f>
        <v/>
      </c>
      <c r="L8" s="38">
        <f>IF(K8="No","Not applicable",IF(Profile!$C$5="Fintech (sponsor bank program)","Through the Sponsor Bank; program disclosures and holds must match","Direct"))</f>
        <v/>
      </c>
      <c r="M8" s="40" t="n"/>
      <c r="N8" s="40" t="n"/>
      <c r="O8" s="40" t="inlineStr">
        <is>
          <t>X</t>
        </is>
      </c>
      <c r="P8" s="40" t="inlineStr">
        <is>
          <t>X</t>
        </is>
      </c>
      <c r="Q8" s="40" t="n"/>
      <c r="R8" s="40" t="n"/>
      <c r="S8" s="40" t="n"/>
      <c r="T8" s="38" t="inlineStr">
        <is>
          <t>DEP-POL-03</t>
        </is>
      </c>
      <c r="U8" s="38" t="n"/>
      <c r="V8" s="42" t="n"/>
      <c r="W8" s="41" t="n"/>
      <c r="X8" s="44" t="n"/>
      <c r="Y8" s="45">
        <f>IF(OR(C8="",K8&lt;&gt;"Yes"),"",IF(AND(I8&lt;&gt;"",J8=""),"Explain the override",IF(V8="","Assign an owner",IF(W8&lt;&gt;"Yes","No adopted policy",IF(OR(X8="",Profile!$B$30&gt;X8+365),"Review overdue","")))))</f>
        <v/>
      </c>
    </row>
    <row r="9" ht="39.75" customHeight="1" s="30">
      <c r="A9" s="38" t="inlineStr">
        <is>
          <t>R-05</t>
        </is>
      </c>
      <c r="B9" s="38" t="inlineStr">
        <is>
          <t>Deposits &amp; payments</t>
        </is>
      </c>
      <c r="C9" s="39" t="inlineStr">
        <is>
          <t>FDIC official sign and advertising; misrepresentation of insured status</t>
        </is>
      </c>
      <c r="D9" s="38" t="inlineStr">
        <is>
          <t>12 CFR 328 (Subparts A and B)</t>
        </is>
      </c>
      <c r="E9" s="38" t="inlineStr">
        <is>
          <t>FDIC</t>
        </is>
      </c>
      <c r="F9" s="38" t="inlineStr">
        <is>
          <t>Deposit insurance signage (including digital channels) and accurate statements about insurance</t>
        </is>
      </c>
      <c r="G9" s="38" t="inlineStr">
        <is>
          <t>P1, P2, P3</t>
        </is>
      </c>
      <c r="H9" s="40">
        <f>IF(AND(TRUE(),OR(Profile!$C$6="Yes",Profile!$C$7="Yes",Profile!$C$8="Yes")),"Yes","No")</f>
        <v/>
      </c>
      <c r="I9" s="41" t="n"/>
      <c r="J9" s="42" t="n"/>
      <c r="K9" s="43">
        <f>IF(I9&lt;&gt;"",I9,H9)</f>
        <v/>
      </c>
      <c r="L9" s="38">
        <f>IF(K9="No","Not applicable",IF(Profile!$C$5="Fintech (sponsor bank program)","Direct for misrepresentation (Subpart B); signage through the Sponsor Bank","Direct"))</f>
        <v/>
      </c>
      <c r="M9" s="40" t="inlineStr">
        <is>
          <t>X</t>
        </is>
      </c>
      <c r="N9" s="40" t="inlineStr">
        <is>
          <t>X</t>
        </is>
      </c>
      <c r="O9" s="40" t="inlineStr">
        <is>
          <t>X</t>
        </is>
      </c>
      <c r="P9" s="40" t="n"/>
      <c r="Q9" s="40" t="n"/>
      <c r="R9" s="40" t="n"/>
      <c r="S9" s="40" t="n"/>
      <c r="T9" s="38" t="inlineStr">
        <is>
          <t>DEP-POL-04; OPR-POL-08</t>
        </is>
      </c>
      <c r="U9" s="46" t="inlineStr">
        <is>
          <t>Digital and ATM signage compliance date April 1, 2027</t>
        </is>
      </c>
      <c r="V9" s="42" t="n"/>
      <c r="W9" s="41" t="n"/>
      <c r="X9" s="44" t="n"/>
      <c r="Y9" s="45">
        <f>IF(OR(C9="",K9&lt;&gt;"Yes"),"",IF(AND(I9&lt;&gt;"",J9=""),"Explain the override",IF(V9="","Assign an owner",IF(W9&lt;&gt;"Yes","No adopted policy",IF(OR(X9="",Profile!$B$30&gt;X9+365),"Review overdue","")))))</f>
        <v/>
      </c>
    </row>
    <row r="10" ht="39.75" customHeight="1" s="30">
      <c r="A10" s="38" t="inlineStr">
        <is>
          <t>R-06</t>
        </is>
      </c>
      <c r="B10" s="38" t="inlineStr">
        <is>
          <t>Deposits &amp; payments</t>
        </is>
      </c>
      <c r="C10" s="39" t="inlineStr">
        <is>
          <t>Deposit insurance recordkeeping for pass-through coverage</t>
        </is>
      </c>
      <c r="D10" s="38" t="inlineStr">
        <is>
          <t>12 CFR 330.5, 330.7</t>
        </is>
      </c>
      <c r="E10" s="38" t="inlineStr">
        <is>
          <t>FDIC</t>
        </is>
      </c>
      <c r="F10" s="38" t="inlineStr">
        <is>
          <t>Records needed for end users to receive pass-through insurance</t>
        </is>
      </c>
      <c r="G10" s="38" t="inlineStr">
        <is>
          <t>P2</t>
        </is>
      </c>
      <c r="H10" s="40">
        <f>IF(AND(TRUE(),Profile!$C$7="Yes"),"Yes","No")</f>
        <v/>
      </c>
      <c r="I10" s="41" t="n"/>
      <c r="J10" s="42" t="n"/>
      <c r="K10" s="43">
        <f>IF(I10&lt;&gt;"",I10,H10)</f>
        <v/>
      </c>
      <c r="L10" s="38">
        <f>IF(K10="No","Not applicable",IF(Profile!$C$5="Fintech (sponsor bank program)","Maintains end-user ledger records for the Sponsor Bank","Direct; oversee partner ledgers"))</f>
        <v/>
      </c>
      <c r="M10" s="40" t="n"/>
      <c r="N10" s="40" t="n"/>
      <c r="O10" s="40" t="n"/>
      <c r="P10" s="40" t="inlineStr">
        <is>
          <t>X</t>
        </is>
      </c>
      <c r="Q10" s="40" t="n"/>
      <c r="R10" s="40" t="n"/>
      <c r="S10" s="40" t="inlineStr">
        <is>
          <t>X</t>
        </is>
      </c>
      <c r="T10" s="38" t="inlineStr">
        <is>
          <t>DEP-POL-10; OPR-POL-08</t>
        </is>
      </c>
      <c r="U10" s="46" t="inlineStr">
        <is>
          <t>Custodial account recordkeeping proposal (2024) not final</t>
        </is>
      </c>
      <c r="V10" s="42" t="n"/>
      <c r="W10" s="41" t="n"/>
      <c r="X10" s="44" t="n"/>
      <c r="Y10" s="45">
        <f>IF(OR(C10="",K10&lt;&gt;"Yes"),"",IF(AND(I10&lt;&gt;"",J10=""),"Explain the override",IF(V10="","Assign an owner",IF(W10&lt;&gt;"Yes","No adopted policy",IF(OR(X10="",Profile!$B$30&gt;X10+365),"Review overdue","")))))</f>
        <v/>
      </c>
    </row>
    <row r="11" ht="39.75" customHeight="1" s="30">
      <c r="A11" s="38" t="inlineStr">
        <is>
          <t>R-07</t>
        </is>
      </c>
      <c r="B11" s="38" t="inlineStr">
        <is>
          <t>Deposits &amp; payments</t>
        </is>
      </c>
      <c r="C11" s="39" t="inlineStr">
        <is>
          <t>Garnishment of accounts containing federal benefits</t>
        </is>
      </c>
      <c r="D11" s="38" t="inlineStr">
        <is>
          <t>31 CFR 212</t>
        </is>
      </c>
      <c r="E11" s="38" t="inlineStr">
        <is>
          <t>Treasury</t>
        </is>
      </c>
      <c r="F11" s="38" t="inlineStr">
        <is>
          <t>Protected amount review on garnishment orders</t>
        </is>
      </c>
      <c r="G11" s="38" t="inlineStr">
        <is>
          <t>P1</t>
        </is>
      </c>
      <c r="H11" s="40">
        <f>IF(AND(TRUE(),Profile!$C$6="Yes"),"Yes","No")</f>
        <v/>
      </c>
      <c r="I11" s="41" t="n"/>
      <c r="J11" s="42" t="n"/>
      <c r="K11" s="43">
        <f>IF(I11&lt;&gt;"",I11,H11)</f>
        <v/>
      </c>
      <c r="L11" s="38">
        <f>IF(K11="No","Not applicable",IF(Profile!$C$5="Fintech (sponsor bank program)","Performs for the Sponsor Bank if it handles legal process","Direct"))</f>
        <v/>
      </c>
      <c r="M11" s="40" t="n"/>
      <c r="N11" s="40" t="n"/>
      <c r="O11" s="40" t="n"/>
      <c r="P11" s="40" t="inlineStr">
        <is>
          <t>X</t>
        </is>
      </c>
      <c r="Q11" s="40" t="n"/>
      <c r="R11" s="40" t="n"/>
      <c r="S11" s="40" t="n"/>
      <c r="T11" s="38" t="inlineStr">
        <is>
          <t>DEP-POL-06</t>
        </is>
      </c>
      <c r="U11" s="38" t="n"/>
      <c r="V11" s="42" t="n"/>
      <c r="W11" s="41" t="n"/>
      <c r="X11" s="44" t="n"/>
      <c r="Y11" s="45">
        <f>IF(OR(C11="",K11&lt;&gt;"Yes"),"",IF(AND(I11&lt;&gt;"",J11=""),"Explain the override",IF(V11="","Assign an owner",IF(W11&lt;&gt;"Yes","No adopted policy",IF(OR(X11="",Profile!$B$30&gt;X11+365),"Review overdue","")))))</f>
        <v/>
      </c>
    </row>
    <row r="12" ht="39.75" customHeight="1" s="30">
      <c r="A12" s="38" t="inlineStr">
        <is>
          <t>R-08</t>
        </is>
      </c>
      <c r="B12" s="38" t="inlineStr">
        <is>
          <t>Deposits &amp; payments</t>
        </is>
      </c>
      <c r="C12" s="39" t="inlineStr">
        <is>
          <t>State unclaimed property laws</t>
        </is>
      </c>
      <c r="D12" s="38" t="inlineStr">
        <is>
          <t>State law</t>
        </is>
      </c>
      <c r="E12" s="38" t="inlineStr">
        <is>
          <t>States</t>
        </is>
      </c>
      <c r="F12" s="38" t="inlineStr">
        <is>
          <t>Dormancy, due diligence notices, and reporting of abandoned funds</t>
        </is>
      </c>
      <c r="G12" s="38" t="inlineStr">
        <is>
          <t>F10</t>
        </is>
      </c>
      <c r="H12" s="40">
        <f>IF(AND(TRUE(),Profile!$C$26="Yes"),"Yes","No")</f>
        <v/>
      </c>
      <c r="I12" s="41" t="n"/>
      <c r="J12" s="42" t="n"/>
      <c r="K12" s="43">
        <f>IF(I12&lt;&gt;"",I12,H12)</f>
        <v/>
      </c>
      <c r="L12" s="38">
        <f>IF(K12="No","Not applicable",IF(Profile!$C$5="Fintech (sponsor bank program)","Direct or for the Sponsor Bank, per program structure","Direct"))</f>
        <v/>
      </c>
      <c r="M12" s="40" t="n"/>
      <c r="N12" s="40" t="n"/>
      <c r="O12" s="40" t="n"/>
      <c r="P12" s="40" t="inlineStr">
        <is>
          <t>X</t>
        </is>
      </c>
      <c r="Q12" s="40" t="n"/>
      <c r="R12" s="40" t="n"/>
      <c r="S12" s="40" t="inlineStr">
        <is>
          <t>X</t>
        </is>
      </c>
      <c r="T12" s="38" t="inlineStr">
        <is>
          <t>DEP-POL-07</t>
        </is>
      </c>
      <c r="U12" s="38" t="n"/>
      <c r="V12" s="42" t="n"/>
      <c r="W12" s="41" t="n"/>
      <c r="X12" s="44" t="n"/>
      <c r="Y12" s="45">
        <f>IF(OR(C12="",K12&lt;&gt;"Yes"),"",IF(AND(I12&lt;&gt;"",J12=""),"Explain the override",IF(V12="","Assign an owner",IF(W12&lt;&gt;"Yes","No adopted policy",IF(OR(X12="",Profile!$B$30&gt;X12+365),"Review overdue","")))))</f>
        <v/>
      </c>
    </row>
    <row r="13" ht="39.75" customHeight="1" s="30">
      <c r="A13" s="38" t="inlineStr">
        <is>
          <t>R-09</t>
        </is>
      </c>
      <c r="B13" s="38" t="inlineStr">
        <is>
          <t>Deposits &amp; payments</t>
        </is>
      </c>
      <c r="C13" s="39" t="inlineStr">
        <is>
          <t>Nacha Operating Rules</t>
        </is>
      </c>
      <c r="D13" s="38" t="inlineStr">
        <is>
          <t>Nacha Operating Rules (contract)</t>
        </is>
      </c>
      <c r="E13" s="38" t="inlineStr">
        <is>
          <t>Nacha</t>
        </is>
      </c>
      <c r="F13" s="38" t="inlineStr">
        <is>
          <t>ACH origination, returns, authorizations, fraud monitoring</t>
        </is>
      </c>
      <c r="G13" s="38" t="inlineStr">
        <is>
          <t>P10</t>
        </is>
      </c>
      <c r="H13" s="40">
        <f>IF(AND(TRUE(),Profile!$C$15="Yes"),"Yes","No")</f>
        <v/>
      </c>
      <c r="I13" s="41" t="n"/>
      <c r="J13" s="42" t="n"/>
      <c r="K13" s="43">
        <f>IF(I13&lt;&gt;"",I13,H13)</f>
        <v/>
      </c>
      <c r="L13" s="38">
        <f>IF(K13="No","Not applicable",IF(Profile!$C$5="Fintech (sponsor bank program)","Through the ODFI agreement as originator or third-party sender","Direct as ODFI/RDFI"))</f>
        <v/>
      </c>
      <c r="M13" s="40" t="n"/>
      <c r="N13" s="40" t="inlineStr">
        <is>
          <t>X</t>
        </is>
      </c>
      <c r="O13" s="40" t="n"/>
      <c r="P13" s="40" t="inlineStr">
        <is>
          <t>X</t>
        </is>
      </c>
      <c r="Q13" s="40" t="inlineStr">
        <is>
          <t>X</t>
        </is>
      </c>
      <c r="R13" s="40" t="n"/>
      <c r="S13" s="40" t="inlineStr">
        <is>
          <t>X</t>
        </is>
      </c>
      <c r="T13" s="38" t="inlineStr">
        <is>
          <t>DEP-POL-08</t>
        </is>
      </c>
      <c r="U13" s="46" t="inlineStr">
        <is>
          <t>Fraud monitoring phases effective March 20 and June 19, 2026</t>
        </is>
      </c>
      <c r="V13" s="42" t="n"/>
      <c r="W13" s="41" t="n"/>
      <c r="X13" s="44" t="n"/>
      <c r="Y13" s="45">
        <f>IF(OR(C13="",K13&lt;&gt;"Yes"),"",IF(AND(I13&lt;&gt;"",J13=""),"Explain the override",IF(V13="","Assign an owner",IF(W13&lt;&gt;"Yes","No adopted policy",IF(OR(X13="",Profile!$B$30&gt;X13+365),"Review overdue","")))))</f>
        <v/>
      </c>
    </row>
    <row r="14" ht="39.75" customHeight="1" s="30">
      <c r="A14" s="38" t="inlineStr">
        <is>
          <t>R-10</t>
        </is>
      </c>
      <c r="B14" s="38" t="inlineStr">
        <is>
          <t>Deposits &amp; payments</t>
        </is>
      </c>
      <c r="C14" s="39" t="inlineStr">
        <is>
          <t>Card network rules</t>
        </is>
      </c>
      <c r="D14" s="38" t="inlineStr">
        <is>
          <t>Visa / Mastercard rules (contract)</t>
        </is>
      </c>
      <c r="E14" s="38" t="inlineStr">
        <is>
          <t>Networks</t>
        </is>
      </c>
      <c r="F14" s="38" t="inlineStr">
        <is>
          <t>Card issuance, disputes, chargebacks, zero liability</t>
        </is>
      </c>
      <c r="G14" s="38" t="inlineStr">
        <is>
          <t>P4, P5, P6</t>
        </is>
      </c>
      <c r="H14" s="40">
        <f>IF(AND(TRUE(),OR(Profile!$C$9="Yes",Profile!$C$10="Yes",Profile!$C$11="Yes")),"Yes","No")</f>
        <v/>
      </c>
      <c r="I14" s="41" t="n"/>
      <c r="J14" s="42" t="n"/>
      <c r="K14" s="43">
        <f>IF(I14&lt;&gt;"",I14,H14)</f>
        <v/>
      </c>
      <c r="L14" s="38">
        <f>IF(K14="No","Not applicable",IF(Profile!$C$5="Fintech (sponsor bank program)","Through the issuing bank and processor","Direct as issuer"))</f>
        <v/>
      </c>
      <c r="M14" s="40" t="n"/>
      <c r="N14" s="40" t="n"/>
      <c r="O14" s="40" t="n"/>
      <c r="P14" s="40" t="inlineStr">
        <is>
          <t>X</t>
        </is>
      </c>
      <c r="Q14" s="40" t="inlineStr">
        <is>
          <t>X</t>
        </is>
      </c>
      <c r="R14" s="40" t="n"/>
      <c r="S14" s="40" t="n"/>
      <c r="T14" s="38" t="inlineStr">
        <is>
          <t>DEP-POL-09</t>
        </is>
      </c>
      <c r="U14" s="38" t="n"/>
      <c r="V14" s="42" t="n"/>
      <c r="W14" s="41" t="n"/>
      <c r="X14" s="44" t="n"/>
      <c r="Y14" s="45">
        <f>IF(OR(C14="",K14&lt;&gt;"Yes"),"",IF(AND(I14&lt;&gt;"",J14=""),"Explain the override",IF(V14="","Assign an owner",IF(W14&lt;&gt;"Yes","No adopted policy",IF(OR(X14="",Profile!$B$30&gt;X14+365),"Review overdue","")))))</f>
        <v/>
      </c>
    </row>
    <row r="15" ht="39.75" customHeight="1" s="30">
      <c r="A15" s="38" t="inlineStr">
        <is>
          <t>R-11</t>
        </is>
      </c>
      <c r="B15" s="38" t="inlineStr">
        <is>
          <t>Lending</t>
        </is>
      </c>
      <c r="C15" s="39" t="inlineStr">
        <is>
          <t>Truth in Lending Act / Regulation Z, open-end and credit cards</t>
        </is>
      </c>
      <c r="D15" s="38" t="inlineStr">
        <is>
          <t>15 U.S.C. 1601 et seq.; 12 CFR 1026 Subparts B and G</t>
        </is>
      </c>
      <c r="E15" s="38" t="inlineStr">
        <is>
          <t>CFPB</t>
        </is>
      </c>
      <c r="F15" s="38" t="inlineStr">
        <is>
          <t>Disclosures, billing errors, credit card rules (ability to pay, fees, rate increases)</t>
        </is>
      </c>
      <c r="G15" s="38" t="inlineStr">
        <is>
          <t>P6</t>
        </is>
      </c>
      <c r="H15" s="40">
        <f>IF(AND(TRUE(),Profile!$C$11="Yes"),"Yes","No")</f>
        <v/>
      </c>
      <c r="I15" s="41" t="n"/>
      <c r="J15" s="42" t="n"/>
      <c r="K15" s="43">
        <f>IF(I15&lt;&gt;"",I15,H15)</f>
        <v/>
      </c>
      <c r="L15" s="38">
        <f>IF(K15="No","Not applicable",IF(Profile!$C$5="Fintech (sponsor bank program)","Performs for the Sponsor Bank as creditor","Direct as creditor"))</f>
        <v/>
      </c>
      <c r="M15" s="40" t="inlineStr">
        <is>
          <t>X</t>
        </is>
      </c>
      <c r="N15" s="40" t="inlineStr">
        <is>
          <t>X</t>
        </is>
      </c>
      <c r="O15" s="40" t="inlineStr">
        <is>
          <t>X</t>
        </is>
      </c>
      <c r="P15" s="40" t="inlineStr">
        <is>
          <t>X</t>
        </is>
      </c>
      <c r="Q15" s="40" t="inlineStr">
        <is>
          <t>X</t>
        </is>
      </c>
      <c r="R15" s="40" t="inlineStr">
        <is>
          <t>X</t>
        </is>
      </c>
      <c r="S15" s="40" t="inlineStr">
        <is>
          <t>X</t>
        </is>
      </c>
      <c r="T15" s="38" t="inlineStr">
        <is>
          <t>LEN-POL-01</t>
        </is>
      </c>
      <c r="U15" s="46" t="inlineStr">
        <is>
          <t>Late fee safe harbor: 2024 rule vacated [verify amounts]</t>
        </is>
      </c>
      <c r="V15" s="42" t="n"/>
      <c r="W15" s="41" t="n"/>
      <c r="X15" s="44" t="n"/>
      <c r="Y15" s="45">
        <f>IF(OR(C15="",K15&lt;&gt;"Yes"),"",IF(AND(I15&lt;&gt;"",J15=""),"Explain the override",IF(V15="","Assign an owner",IF(W15&lt;&gt;"Yes","No adopted policy",IF(OR(X15="",Profile!$B$30&gt;X15+365),"Review overdue","")))))</f>
        <v/>
      </c>
    </row>
    <row r="16" ht="39.75" customHeight="1" s="30">
      <c r="A16" s="38" t="inlineStr">
        <is>
          <t>R-12</t>
        </is>
      </c>
      <c r="B16" s="38" t="inlineStr">
        <is>
          <t>Lending</t>
        </is>
      </c>
      <c r="C16" s="39" t="inlineStr">
        <is>
          <t>Truth in Lending Act / Regulation Z, closed-end</t>
        </is>
      </c>
      <c r="D16" s="38" t="inlineStr">
        <is>
          <t>12 CFR 1026 Subpart C</t>
        </is>
      </c>
      <c r="E16" s="38" t="inlineStr">
        <is>
          <t>CFPB</t>
        </is>
      </c>
      <c r="F16" s="38" t="inlineStr">
        <is>
          <t>Closed-end disclosures and advertising</t>
        </is>
      </c>
      <c r="G16" s="38" t="inlineStr">
        <is>
          <t>P7</t>
        </is>
      </c>
      <c r="H16" s="40">
        <f>IF(AND(TRUE(),Profile!$C$12="Yes"),"Yes","No")</f>
        <v/>
      </c>
      <c r="I16" s="41" t="n"/>
      <c r="J16" s="42" t="n"/>
      <c r="K16" s="43">
        <f>IF(I16&lt;&gt;"",I16,H16)</f>
        <v/>
      </c>
      <c r="L16" s="38">
        <f>IF(K16="No","Not applicable",IF(Profile!$C$5="Fintech (sponsor bank program)","Performs for the Sponsor Bank as creditor","Direct as creditor"))</f>
        <v/>
      </c>
      <c r="M16" s="40" t="inlineStr">
        <is>
          <t>X</t>
        </is>
      </c>
      <c r="N16" s="40" t="inlineStr">
        <is>
          <t>X</t>
        </is>
      </c>
      <c r="O16" s="40" t="inlineStr">
        <is>
          <t>X</t>
        </is>
      </c>
      <c r="P16" s="40" t="inlineStr">
        <is>
          <t>X</t>
        </is>
      </c>
      <c r="Q16" s="40" t="n"/>
      <c r="R16" s="40" t="n"/>
      <c r="S16" s="40" t="n"/>
      <c r="T16" s="38" t="inlineStr">
        <is>
          <t>LEN-POL-02</t>
        </is>
      </c>
      <c r="U16" s="38" t="n"/>
      <c r="V16" s="42" t="n"/>
      <c r="W16" s="41" t="n"/>
      <c r="X16" s="44" t="n"/>
      <c r="Y16" s="45">
        <f>IF(OR(C16="",K16&lt;&gt;"Yes"),"",IF(AND(I16&lt;&gt;"",J16=""),"Explain the override",IF(V16="","Assign an owner",IF(W16&lt;&gt;"Yes","No adopted policy",IF(OR(X16="",Profile!$B$30&gt;X16+365),"Review overdue","")))))</f>
        <v/>
      </c>
    </row>
    <row r="17" ht="39.75" customHeight="1" s="30">
      <c r="A17" s="38" t="inlineStr">
        <is>
          <t>R-13</t>
        </is>
      </c>
      <c r="B17" s="38" t="inlineStr">
        <is>
          <t>Lending</t>
        </is>
      </c>
      <c r="C17" s="39" t="inlineStr">
        <is>
          <t>Equal Credit Opportunity Act / Regulation B</t>
        </is>
      </c>
      <c r="D17" s="38" t="inlineStr">
        <is>
          <t>15 U.S.C. 1691 et seq.; 12 CFR 1002</t>
        </is>
      </c>
      <c r="E17" s="38" t="inlineStr">
        <is>
          <t>CFPB</t>
        </is>
      </c>
      <c r="F17" s="38" t="inlineStr">
        <is>
          <t>Fair lending, adverse action notices, appraisals, record retention</t>
        </is>
      </c>
      <c r="G17" s="38" t="inlineStr">
        <is>
          <t>P6, P7, P8</t>
        </is>
      </c>
      <c r="H17" s="40">
        <f>IF(AND(TRUE(),OR(Profile!$C$11="Yes",Profile!$C$12="Yes",Profile!$C$13="Yes")),"Yes","No")</f>
        <v/>
      </c>
      <c r="I17" s="41" t="n"/>
      <c r="J17" s="42" t="n"/>
      <c r="K17" s="43">
        <f>IF(I17&lt;&gt;"",I17,H17)</f>
        <v/>
      </c>
      <c r="L17" s="38">
        <f>IF(K17="No","Not applicable",IF(Profile!$C$5="Fintech (sponsor bank program)","Direct as a creditor or arranger in many programs; also for the Sponsor Bank","Direct"))</f>
        <v/>
      </c>
      <c r="M17" s="40" t="inlineStr">
        <is>
          <t>X</t>
        </is>
      </c>
      <c r="N17" s="40" t="inlineStr">
        <is>
          <t>X</t>
        </is>
      </c>
      <c r="O17" s="40" t="inlineStr">
        <is>
          <t>X</t>
        </is>
      </c>
      <c r="P17" s="40" t="inlineStr">
        <is>
          <t>X</t>
        </is>
      </c>
      <c r="Q17" s="40" t="n"/>
      <c r="R17" s="40" t="n"/>
      <c r="S17" s="40" t="inlineStr">
        <is>
          <t>X</t>
        </is>
      </c>
      <c r="T17" s="38" t="inlineStr">
        <is>
          <t>LEN-POL-03; LEN-PRO-01</t>
        </is>
      </c>
      <c r="U17" s="46" t="inlineStr">
        <is>
          <t>Final rule removing disparate impact effective July 21, 2026; litigation expected</t>
        </is>
      </c>
      <c r="V17" s="42" t="n"/>
      <c r="W17" s="41" t="n"/>
      <c r="X17" s="44" t="n"/>
      <c r="Y17" s="45">
        <f>IF(OR(C17="",K17&lt;&gt;"Yes"),"",IF(AND(I17&lt;&gt;"",J17=""),"Explain the override",IF(V17="","Assign an owner",IF(W17&lt;&gt;"Yes","No adopted policy",IF(OR(X17="",Profile!$B$30&gt;X17+365),"Review overdue","")))))</f>
        <v/>
      </c>
    </row>
    <row r="18" ht="39.75" customHeight="1" s="30">
      <c r="A18" s="38" t="inlineStr">
        <is>
          <t>R-14</t>
        </is>
      </c>
      <c r="B18" s="38" t="inlineStr">
        <is>
          <t>Lending</t>
        </is>
      </c>
      <c r="C18" s="39" t="inlineStr">
        <is>
          <t>Small business lending data collection (Section 1071)</t>
        </is>
      </c>
      <c r="D18" s="38" t="inlineStr">
        <is>
          <t>12 CFR 1002 Subpart B</t>
        </is>
      </c>
      <c r="E18" s="38" t="inlineStr">
        <is>
          <t>CFPB</t>
        </is>
      </c>
      <c r="F18" s="38" t="inlineStr">
        <is>
          <t>Data collection and reporting on small business credit applications</t>
        </is>
      </c>
      <c r="G18" s="38" t="inlineStr">
        <is>
          <t>P8</t>
        </is>
      </c>
      <c r="H18" s="40">
        <f>IF(AND(TRUE(),Profile!$C$13="Yes"),"Yes","No")</f>
        <v/>
      </c>
      <c r="I18" s="41" t="n"/>
      <c r="J18" s="42" t="n"/>
      <c r="K18" s="43">
        <f>IF(I18&lt;&gt;"",I18,H18)</f>
        <v/>
      </c>
      <c r="L18" s="38">
        <f>IF(K18="No","Not applicable",IF(Profile!$C$5="Fintech (sponsor bank program)","Depends on program role and volume","Direct if a covered financial institution"))</f>
        <v/>
      </c>
      <c r="M18" s="40" t="n"/>
      <c r="N18" s="40" t="inlineStr">
        <is>
          <t>X</t>
        </is>
      </c>
      <c r="O18" s="40" t="n"/>
      <c r="P18" s="40" t="n"/>
      <c r="Q18" s="40" t="n"/>
      <c r="R18" s="40" t="n"/>
      <c r="S18" s="40" t="inlineStr">
        <is>
          <t>X</t>
        </is>
      </c>
      <c r="T18" s="38" t="inlineStr">
        <is>
          <t>LEN-POL-03</t>
        </is>
      </c>
      <c r="U18" s="46" t="inlineStr">
        <is>
          <t>Under reconsideration [verify scope and dates]</t>
        </is>
      </c>
      <c r="V18" s="42" t="n"/>
      <c r="W18" s="41" t="n"/>
      <c r="X18" s="44" t="n"/>
      <c r="Y18" s="45">
        <f>IF(OR(C18="",K18&lt;&gt;"Yes"),"",IF(AND(I18&lt;&gt;"",J18=""),"Explain the override",IF(V18="","Assign an owner",IF(W18&lt;&gt;"Yes","No adopted policy",IF(OR(X18="",Profile!$B$30&gt;X18+365),"Review overdue","")))))</f>
        <v/>
      </c>
    </row>
    <row r="19" ht="39.75" customHeight="1" s="30">
      <c r="A19" s="38" t="inlineStr">
        <is>
          <t>R-15</t>
        </is>
      </c>
      <c r="B19" s="38" t="inlineStr">
        <is>
          <t>Lending</t>
        </is>
      </c>
      <c r="C19" s="39" t="inlineStr">
        <is>
          <t>Military Lending Act</t>
        </is>
      </c>
      <c r="D19" s="38" t="inlineStr">
        <is>
          <t>10 U.S.C. 987; 32 CFR 232</t>
        </is>
      </c>
      <c r="E19" s="38" t="inlineStr">
        <is>
          <t>DoD</t>
        </is>
      </c>
      <c r="F19" s="38" t="inlineStr">
        <is>
          <t>Covered borrower checks, MAPR limit, disclosures, and prohibited terms</t>
        </is>
      </c>
      <c r="G19" s="38" t="inlineStr">
        <is>
          <t>P6, P7</t>
        </is>
      </c>
      <c r="H19" s="40">
        <f>IF(AND(TRUE(),OR(Profile!$C$11="Yes",Profile!$C$12="Yes")),"Yes","No")</f>
        <v/>
      </c>
      <c r="I19" s="41" t="n"/>
      <c r="J19" s="42" t="n"/>
      <c r="K19" s="43">
        <f>IF(I19&lt;&gt;"",I19,H19)</f>
        <v/>
      </c>
      <c r="L19" s="38">
        <f>IF(K19="No","Not applicable",IF(Profile!$C$5="Fintech (sponsor bank program)","Performs for the Sponsor Bank as creditor","Direct"))</f>
        <v/>
      </c>
      <c r="M19" s="40" t="n"/>
      <c r="N19" s="40" t="inlineStr">
        <is>
          <t>X</t>
        </is>
      </c>
      <c r="O19" s="40" t="inlineStr">
        <is>
          <t>X</t>
        </is>
      </c>
      <c r="P19" s="40" t="inlineStr">
        <is>
          <t>X</t>
        </is>
      </c>
      <c r="Q19" s="40" t="n"/>
      <c r="R19" s="40" t="inlineStr">
        <is>
          <t>X</t>
        </is>
      </c>
      <c r="S19" s="40" t="n"/>
      <c r="T19" s="38" t="inlineStr">
        <is>
          <t>CON-POL-04</t>
        </is>
      </c>
      <c r="U19" s="38" t="n"/>
      <c r="V19" s="42" t="n"/>
      <c r="W19" s="41" t="n"/>
      <c r="X19" s="44" t="n"/>
      <c r="Y19" s="45">
        <f>IF(OR(C19="",K19&lt;&gt;"Yes"),"",IF(AND(I19&lt;&gt;"",J19=""),"Explain the override",IF(V19="","Assign an owner",IF(W19&lt;&gt;"Yes","No adopted policy",IF(OR(X19="",Profile!$B$30&gt;X19+365),"Review overdue","")))))</f>
        <v/>
      </c>
    </row>
    <row r="20" ht="39.75" customHeight="1" s="30">
      <c r="A20" s="38" t="inlineStr">
        <is>
          <t>R-16</t>
        </is>
      </c>
      <c r="B20" s="38" t="inlineStr">
        <is>
          <t>Lending</t>
        </is>
      </c>
      <c r="C20" s="39" t="inlineStr">
        <is>
          <t>Servicemembers Civil Relief Act</t>
        </is>
      </c>
      <c r="D20" s="38" t="inlineStr">
        <is>
          <t>50 U.S.C. 3901 et seq.</t>
        </is>
      </c>
      <c r="E20" s="38" t="inlineStr">
        <is>
          <t>DOJ</t>
        </is>
      </c>
      <c r="F20" s="38" t="inlineStr">
        <is>
          <t>Interest rate cap and protections for servicemembers</t>
        </is>
      </c>
      <c r="G20" s="38" t="inlineStr">
        <is>
          <t>P6, P7, P8, F6</t>
        </is>
      </c>
      <c r="H20" s="40">
        <f>IF(AND(TRUE(),OR(Profile!$C$11="Yes",Profile!$C$12="Yes",Profile!$C$13="Yes",Profile!$C$22="Yes")),"Yes","No")</f>
        <v/>
      </c>
      <c r="I20" s="41" t="n"/>
      <c r="J20" s="42" t="n"/>
      <c r="K20" s="43">
        <f>IF(I20&lt;&gt;"",I20,H20)</f>
        <v/>
      </c>
      <c r="L20" s="38">
        <f>IF(K20="No","Not applicable",IF(Profile!$C$5="Fintech (sponsor bank program)","Direct as servicer or collector; for the Sponsor Bank as creditor","Direct"))</f>
        <v/>
      </c>
      <c r="M20" s="40" t="n"/>
      <c r="N20" s="40" t="n"/>
      <c r="O20" s="40" t="n"/>
      <c r="P20" s="40" t="inlineStr">
        <is>
          <t>X</t>
        </is>
      </c>
      <c r="Q20" s="40" t="n"/>
      <c r="R20" s="40" t="inlineStr">
        <is>
          <t>X</t>
        </is>
      </c>
      <c r="S20" s="40" t="n"/>
      <c r="T20" s="38" t="inlineStr">
        <is>
          <t>CON-POL-04</t>
        </is>
      </c>
      <c r="U20" s="38" t="n"/>
      <c r="V20" s="42" t="n"/>
      <c r="W20" s="41" t="n"/>
      <c r="X20" s="44" t="n"/>
      <c r="Y20" s="45">
        <f>IF(OR(C20="",K20&lt;&gt;"Yes"),"",IF(AND(I20&lt;&gt;"",J20=""),"Explain the override",IF(V20="","Assign an owner",IF(W20&lt;&gt;"Yes","No adopted policy",IF(OR(X20="",Profile!$B$30&gt;X20+365),"Review overdue","")))))</f>
        <v/>
      </c>
    </row>
    <row r="21" ht="39.75" customHeight="1" s="30">
      <c r="A21" s="38" t="inlineStr">
        <is>
          <t>R-17</t>
        </is>
      </c>
      <c r="B21" s="38" t="inlineStr">
        <is>
          <t>Lending</t>
        </is>
      </c>
      <c r="C21" s="39" t="inlineStr">
        <is>
          <t>Fair Debt Collection Practices Act / Regulation F</t>
        </is>
      </c>
      <c r="D21" s="38" t="inlineStr">
        <is>
          <t>15 U.S.C. 1692 et seq.; 12 CFR 1006</t>
        </is>
      </c>
      <c r="E21" s="38" t="inlineStr">
        <is>
          <t>CFPB</t>
        </is>
      </c>
      <c r="F21" s="38" t="inlineStr">
        <is>
          <t>Third-party debt collection communications, validation, disputes</t>
        </is>
      </c>
      <c r="G21" s="38" t="inlineStr">
        <is>
          <t>F6</t>
        </is>
      </c>
      <c r="H21" s="40">
        <f>IF(AND(TRUE(),Profile!$C$22="Yes"),"Yes","No")</f>
        <v/>
      </c>
      <c r="I21" s="41" t="n"/>
      <c r="J21" s="42" t="n"/>
      <c r="K21" s="43">
        <f>IF(I21&lt;&gt;"",I21,H21)</f>
        <v/>
      </c>
      <c r="L21" s="38">
        <f>IF(K21="No","Not applicable",IF(Profile!$C$5="Fintech (sponsor bank program)","Direct if the Company or its vendor is a ""debt collector""","Applies to third-party collectors the Bank uses"))</f>
        <v/>
      </c>
      <c r="M21" s="40" t="n"/>
      <c r="N21" s="40" t="n"/>
      <c r="O21" s="40" t="n"/>
      <c r="P21" s="40" t="n"/>
      <c r="Q21" s="40" t="n"/>
      <c r="R21" s="40" t="inlineStr">
        <is>
          <t>X</t>
        </is>
      </c>
      <c r="S21" s="40" t="n"/>
      <c r="T21" s="38" t="inlineStr">
        <is>
          <t>LEN-POL-05</t>
        </is>
      </c>
      <c r="U21" s="38" t="n"/>
      <c r="V21" s="42" t="n"/>
      <c r="W21" s="41" t="n"/>
      <c r="X21" s="44" t="n"/>
      <c r="Y21" s="45">
        <f>IF(OR(C21="",K21&lt;&gt;"Yes"),"",IF(AND(I21&lt;&gt;"",J21=""),"Explain the override",IF(V21="","Assign an owner",IF(W21&lt;&gt;"Yes","No adopted policy",IF(OR(X21="",Profile!$B$30&gt;X21+365),"Review overdue","")))))</f>
        <v/>
      </c>
    </row>
    <row r="22" ht="39.75" customHeight="1" s="30">
      <c r="A22" s="38" t="inlineStr">
        <is>
          <t>R-18</t>
        </is>
      </c>
      <c r="B22" s="38" t="inlineStr">
        <is>
          <t>Lending</t>
        </is>
      </c>
      <c r="C22" s="39" t="inlineStr">
        <is>
          <t>State lending, usury, and licensing laws</t>
        </is>
      </c>
      <c r="D22" s="38" t="inlineStr">
        <is>
          <t>State law</t>
        </is>
      </c>
      <c r="E22" s="38" t="inlineStr">
        <is>
          <t>States</t>
        </is>
      </c>
      <c r="F22" s="38" t="inlineStr">
        <is>
          <t>Licenses, rate limits, and state-specific lending rules</t>
        </is>
      </c>
      <c r="G22" s="38" t="inlineStr">
        <is>
          <t>P6, P7, P8</t>
        </is>
      </c>
      <c r="H22" s="40">
        <f>IF(AND(TRUE(),OR(Profile!$C$11="Yes",Profile!$C$12="Yes",Profile!$C$13="Yes")),"Yes","No")</f>
        <v/>
      </c>
      <c r="I22" s="41" t="n"/>
      <c r="J22" s="42" t="n"/>
      <c r="K22" s="43">
        <f>IF(I22&lt;&gt;"",I22,H22)</f>
        <v/>
      </c>
      <c r="L22" s="38">
        <f>IF(K22="No","Not applicable",IF(Profile!$C$5="Fintech (sponsor bank program)","Direct for licensing and true-lender risk","Rate exportation (12 U.S.C. 85 / 1831d); state rules as applicable"))</f>
        <v/>
      </c>
      <c r="M22" s="40" t="inlineStr">
        <is>
          <t>X</t>
        </is>
      </c>
      <c r="N22" s="40" t="inlineStr">
        <is>
          <t>X</t>
        </is>
      </c>
      <c r="O22" s="40" t="n"/>
      <c r="P22" s="40" t="inlineStr">
        <is>
          <t>X</t>
        </is>
      </c>
      <c r="Q22" s="40" t="n"/>
      <c r="R22" s="40" t="n"/>
      <c r="S22" s="40" t="n"/>
      <c r="T22" s="38" t="inlineStr">
        <is>
          <t>LEN-POL-07</t>
        </is>
      </c>
      <c r="U22" s="38" t="n"/>
      <c r="V22" s="42" t="n"/>
      <c r="W22" s="41" t="n"/>
      <c r="X22" s="44" t="n"/>
      <c r="Y22" s="45">
        <f>IF(OR(C22="",K22&lt;&gt;"Yes"),"",IF(AND(I22&lt;&gt;"",J22=""),"Explain the override",IF(V22="","Assign an owner",IF(W22&lt;&gt;"Yes","No adopted policy",IF(OR(X22="",Profile!$B$30&gt;X22+365),"Review overdue","")))))</f>
        <v/>
      </c>
    </row>
    <row r="23" ht="39.75" customHeight="1" s="30">
      <c r="A23" s="38" t="inlineStr">
        <is>
          <t>R-19</t>
        </is>
      </c>
      <c r="B23" s="38" t="inlineStr">
        <is>
          <t>Cross-product consumer</t>
        </is>
      </c>
      <c r="C23" s="39" t="inlineStr">
        <is>
          <t>Unfair, deceptive, or abusive acts or practices</t>
        </is>
      </c>
      <c r="D23" s="38" t="inlineStr">
        <is>
          <t>12 U.S.C. 5531, 5536; FTC Act §5 (15 U.S.C. 45)</t>
        </is>
      </c>
      <c r="E23" s="38" t="inlineStr">
        <is>
          <t>CFPB / FTC / prudential</t>
        </is>
      </c>
      <c r="F23" s="38" t="inlineStr">
        <is>
          <t>All products, communications, and practices</t>
        </is>
      </c>
      <c r="G23" s="38" t="inlineStr">
        <is>
          <t>All</t>
        </is>
      </c>
      <c r="H23" s="40">
        <f>IF(AND(TRUE(),TRUE()),"Yes","No")</f>
        <v/>
      </c>
      <c r="I23" s="41" t="n"/>
      <c r="J23" s="42" t="n"/>
      <c r="K23" s="43">
        <f>IF(I23&lt;&gt;"",I23,H23)</f>
        <v/>
      </c>
      <c r="L23" s="38">
        <f>IF(K23="No","Not applicable",IF(Profile!$C$5="Fintech (sponsor bank program)","Direct","Direct"))</f>
        <v/>
      </c>
      <c r="M23" s="40" t="inlineStr">
        <is>
          <t>X</t>
        </is>
      </c>
      <c r="N23" s="40" t="inlineStr">
        <is>
          <t>X</t>
        </is>
      </c>
      <c r="O23" s="40" t="inlineStr">
        <is>
          <t>X</t>
        </is>
      </c>
      <c r="P23" s="40" t="inlineStr">
        <is>
          <t>X</t>
        </is>
      </c>
      <c r="Q23" s="40" t="inlineStr">
        <is>
          <t>X</t>
        </is>
      </c>
      <c r="R23" s="40" t="inlineStr">
        <is>
          <t>X</t>
        </is>
      </c>
      <c r="S23" s="40" t="inlineStr">
        <is>
          <t>X</t>
        </is>
      </c>
      <c r="T23" s="38" t="inlineStr">
        <is>
          <t>CON-POL-01; CON-POL-02</t>
        </is>
      </c>
      <c r="U23" s="46" t="inlineStr">
        <is>
          <t>CFPB guidance withdrawn May 12, 2025; statutes unchanged</t>
        </is>
      </c>
      <c r="V23" s="42" t="n"/>
      <c r="W23" s="41" t="n"/>
      <c r="X23" s="44" t="n"/>
      <c r="Y23" s="45">
        <f>IF(OR(C23="",K23&lt;&gt;"Yes"),"",IF(AND(I23&lt;&gt;"",J23=""),"Explain the override",IF(V23="","Assign an owner",IF(W23&lt;&gt;"Yes","No adopted policy",IF(OR(X23="",Profile!$B$30&gt;X23+365),"Review overdue","")))))</f>
        <v/>
      </c>
    </row>
    <row r="24" ht="39.75" customHeight="1" s="30">
      <c r="A24" s="38" t="inlineStr">
        <is>
          <t>R-20</t>
        </is>
      </c>
      <c r="B24" s="38" t="inlineStr">
        <is>
          <t>Cross-product consumer</t>
        </is>
      </c>
      <c r="C24" s="39" t="inlineStr">
        <is>
          <t>State UDAP and consumer protection laws</t>
        </is>
      </c>
      <c r="D24" s="38" t="inlineStr">
        <is>
          <t>State law</t>
        </is>
      </c>
      <c r="E24" s="38" t="inlineStr">
        <is>
          <t>State AGs and regulators</t>
        </is>
      </c>
      <c r="F24" s="38" t="inlineStr">
        <is>
          <t>State-law unfair and deceptive practices</t>
        </is>
      </c>
      <c r="G24" s="38" t="inlineStr">
        <is>
          <t>All</t>
        </is>
      </c>
      <c r="H24" s="40">
        <f>IF(AND(TRUE(),TRUE()),"Yes","No")</f>
        <v/>
      </c>
      <c r="I24" s="41" t="n"/>
      <c r="J24" s="42" t="n"/>
      <c r="K24" s="43">
        <f>IF(I24&lt;&gt;"",I24,H24)</f>
        <v/>
      </c>
      <c r="L24" s="38">
        <f>IF(K24="No","Not applicable",IF(Profile!$C$5="Fintech (sponsor bank program)","Direct","Direct"))</f>
        <v/>
      </c>
      <c r="M24" s="40" t="inlineStr">
        <is>
          <t>X</t>
        </is>
      </c>
      <c r="N24" s="40" t="inlineStr">
        <is>
          <t>X</t>
        </is>
      </c>
      <c r="O24" s="40" t="inlineStr">
        <is>
          <t>X</t>
        </is>
      </c>
      <c r="P24" s="40" t="inlineStr">
        <is>
          <t>X</t>
        </is>
      </c>
      <c r="Q24" s="40" t="inlineStr">
        <is>
          <t>X</t>
        </is>
      </c>
      <c r="R24" s="40" t="inlineStr">
        <is>
          <t>X</t>
        </is>
      </c>
      <c r="S24" s="40" t="inlineStr">
        <is>
          <t>X</t>
        </is>
      </c>
      <c r="T24" s="38" t="inlineStr">
        <is>
          <t>CON-POL-01</t>
        </is>
      </c>
      <c r="U24" s="38" t="n"/>
      <c r="V24" s="42" t="n"/>
      <c r="W24" s="41" t="n"/>
      <c r="X24" s="44" t="n"/>
      <c r="Y24" s="45">
        <f>IF(OR(C24="",K24&lt;&gt;"Yes"),"",IF(AND(I24&lt;&gt;"",J24=""),"Explain the override",IF(V24="","Assign an owner",IF(W24&lt;&gt;"Yes","No adopted policy",IF(OR(X24="",Profile!$B$30&gt;X24+365),"Review overdue","")))))</f>
        <v/>
      </c>
    </row>
    <row r="25" ht="39.75" customHeight="1" s="30">
      <c r="A25" s="38" t="inlineStr">
        <is>
          <t>R-21</t>
        </is>
      </c>
      <c r="B25" s="38" t="inlineStr">
        <is>
          <t>Cross-product consumer</t>
        </is>
      </c>
      <c r="C25" s="39" t="inlineStr">
        <is>
          <t>Electronic Signatures in Global and National Commerce Act</t>
        </is>
      </c>
      <c r="D25" s="38" t="inlineStr">
        <is>
          <t>15 U.S.C. 7001 et seq.</t>
        </is>
      </c>
      <c r="E25" s="38" t="inlineStr">
        <is>
          <t>—</t>
        </is>
      </c>
      <c r="F25" s="38" t="inlineStr">
        <is>
          <t>Consumer consent for electronic delivery of required disclosures</t>
        </is>
      </c>
      <c r="G25" s="38" t="inlineStr">
        <is>
          <t>F1</t>
        </is>
      </c>
      <c r="H25" s="40">
        <f>IF(AND(TRUE(),Profile!$C$17="Yes"),"Yes","No")</f>
        <v/>
      </c>
      <c r="I25" s="41" t="n"/>
      <c r="J25" s="42" t="n"/>
      <c r="K25" s="43">
        <f>IF(I25&lt;&gt;"",I25,H25)</f>
        <v/>
      </c>
      <c r="L25" s="38">
        <f>IF(K25="No","Not applicable",IF(Profile!$C$5="Fintech (sponsor bank program)","Direct for its own disclosures; for the Sponsor Bank’s","Direct"))</f>
        <v/>
      </c>
      <c r="M25" s="40" t="n"/>
      <c r="N25" s="40" t="inlineStr">
        <is>
          <t>X</t>
        </is>
      </c>
      <c r="O25" s="40" t="inlineStr">
        <is>
          <t>X</t>
        </is>
      </c>
      <c r="P25" s="40" t="n"/>
      <c r="Q25" s="40" t="n"/>
      <c r="R25" s="40" t="n"/>
      <c r="S25" s="40" t="n"/>
      <c r="T25" s="38" t="inlineStr">
        <is>
          <t>CON-POL-03; CON-FRM-01</t>
        </is>
      </c>
      <c r="U25" s="38" t="n"/>
      <c r="V25" s="42" t="n"/>
      <c r="W25" s="41" t="n"/>
      <c r="X25" s="44" t="n"/>
      <c r="Y25" s="45">
        <f>IF(OR(C25="",K25&lt;&gt;"Yes"),"",IF(AND(I25&lt;&gt;"",J25=""),"Explain the override",IF(V25="","Assign an owner",IF(W25&lt;&gt;"Yes","No adopted policy",IF(OR(X25="",Profile!$B$30&gt;X25+365),"Review overdue","")))))</f>
        <v/>
      </c>
    </row>
    <row r="26" ht="39.75" customHeight="1" s="30">
      <c r="A26" s="38" t="inlineStr">
        <is>
          <t>R-22</t>
        </is>
      </c>
      <c r="B26" s="38" t="inlineStr">
        <is>
          <t>Cross-product consumer</t>
        </is>
      </c>
      <c r="C26" s="39" t="inlineStr">
        <is>
          <t>Consumer complaint response</t>
        </is>
      </c>
      <c r="D26" s="38" t="inlineStr">
        <is>
          <t>12 U.S.C. 5534; CFPB complaint process</t>
        </is>
      </c>
      <c r="E26" s="38" t="inlineStr">
        <is>
          <t>CFPB / regulators</t>
        </is>
      </c>
      <c r="F26" s="38" t="inlineStr">
        <is>
          <t>Timely responses to complaints received through regulators</t>
        </is>
      </c>
      <c r="G26" s="38" t="inlineStr">
        <is>
          <t>All</t>
        </is>
      </c>
      <c r="H26" s="40">
        <f>IF(AND(TRUE(),TRUE()),"Yes","No")</f>
        <v/>
      </c>
      <c r="I26" s="41" t="n"/>
      <c r="J26" s="42" t="n"/>
      <c r="K26" s="43">
        <f>IF(I26&lt;&gt;"",I26,H26)</f>
        <v/>
      </c>
      <c r="L26" s="38">
        <f>IF(K26="No","Not applicable",IF(Profile!$C$5="Fintech (sponsor bank program)","Direct for CFPB portal complaints; with the Sponsor Bank","Direct"))</f>
        <v/>
      </c>
      <c r="M26" s="40" t="n"/>
      <c r="N26" s="40" t="n"/>
      <c r="O26" s="40" t="n"/>
      <c r="P26" s="40" t="n"/>
      <c r="Q26" s="40" t="inlineStr">
        <is>
          <t>X</t>
        </is>
      </c>
      <c r="R26" s="40" t="n"/>
      <c r="S26" s="40" t="n"/>
      <c r="T26" s="38" t="inlineStr">
        <is>
          <t>GOV-POL-06</t>
        </is>
      </c>
      <c r="U26" s="38" t="n"/>
      <c r="V26" s="42" t="n"/>
      <c r="W26" s="41" t="n"/>
      <c r="X26" s="44" t="n"/>
      <c r="Y26" s="45">
        <f>IF(OR(C26="",K26&lt;&gt;"Yes"),"",IF(AND(I26&lt;&gt;"",J26=""),"Explain the override",IF(V26="","Assign an owner",IF(W26&lt;&gt;"Yes","No adopted policy",IF(OR(X26="",Profile!$B$30&gt;X26+365),"Review overdue","")))))</f>
        <v/>
      </c>
    </row>
    <row r="27" ht="39.75" customHeight="1" s="30">
      <c r="A27" s="38" t="inlineStr">
        <is>
          <t>R-23</t>
        </is>
      </c>
      <c r="B27" s="38" t="inlineStr">
        <is>
          <t>Cross-product consumer</t>
        </is>
      </c>
      <c r="C27" s="39" t="inlineStr">
        <is>
          <t>Elder and vulnerable adult financial exploitation</t>
        </is>
      </c>
      <c r="D27" s="38" t="inlineStr">
        <is>
          <t>State reporting laws; Senior Safe Act (12 U.S.C. 3423)</t>
        </is>
      </c>
      <c r="E27" s="38" t="inlineStr">
        <is>
          <t>States</t>
        </is>
      </c>
      <c r="F27" s="38" t="inlineStr">
        <is>
          <t>Recognizing, holding, and reporting suspected exploitation</t>
        </is>
      </c>
      <c r="G27" s="38" t="inlineStr">
        <is>
          <t>P1, P3, P6, P7</t>
        </is>
      </c>
      <c r="H27" s="40">
        <f>IF(AND(TRUE(),OR(Profile!$C$6="Yes",Profile!$C$8="Yes",Profile!$C$11="Yes",Profile!$C$12="Yes")),"Yes","No")</f>
        <v/>
      </c>
      <c r="I27" s="41" t="n"/>
      <c r="J27" s="42" t="n"/>
      <c r="K27" s="43">
        <f>IF(I27&lt;&gt;"",I27,H27)</f>
        <v/>
      </c>
      <c r="L27" s="38">
        <f>IF(K27="No","Not applicable",IF(Profile!$C$5="Fintech (sponsor bank program)","Direct","Direct"))</f>
        <v/>
      </c>
      <c r="M27" s="40" t="n"/>
      <c r="N27" s="40" t="n"/>
      <c r="O27" s="40" t="n"/>
      <c r="P27" s="40" t="inlineStr">
        <is>
          <t>X</t>
        </is>
      </c>
      <c r="Q27" s="40" t="inlineStr">
        <is>
          <t>X</t>
        </is>
      </c>
      <c r="R27" s="40" t="n"/>
      <c r="S27" s="40" t="n"/>
      <c r="T27" s="38" t="inlineStr">
        <is>
          <t>CON-POL-05</t>
        </is>
      </c>
      <c r="U27" s="38" t="n"/>
      <c r="V27" s="42" t="n"/>
      <c r="W27" s="41" t="n"/>
      <c r="X27" s="44" t="n"/>
      <c r="Y27" s="45">
        <f>IF(OR(C27="",K27&lt;&gt;"Yes"),"",IF(AND(I27&lt;&gt;"",J27=""),"Explain the override",IF(V27="","Assign an owner",IF(W27&lt;&gt;"Yes","No adopted policy",IF(OR(X27="",Profile!$B$30&gt;X27+365),"Review overdue","")))))</f>
        <v/>
      </c>
    </row>
    <row r="28" ht="39.75" customHeight="1" s="30">
      <c r="A28" s="38" t="inlineStr">
        <is>
          <t>R-24</t>
        </is>
      </c>
      <c r="B28" s="38" t="inlineStr">
        <is>
          <t>Privacy &amp; communications</t>
        </is>
      </c>
      <c r="C28" s="39" t="inlineStr">
        <is>
          <t>GLBA privacy / Regulation P</t>
        </is>
      </c>
      <c r="D28" s="38" t="inlineStr">
        <is>
          <t>15 U.S.C. 6801 et seq.; 12 CFR 1016</t>
        </is>
      </c>
      <c r="E28" s="38" t="inlineStr">
        <is>
          <t>CFPB</t>
        </is>
      </c>
      <c r="F28" s="38" t="inlineStr">
        <is>
          <t>Privacy notices, opt-outs, and limits on sharing nonpublic personal information</t>
        </is>
      </c>
      <c r="G28" s="38" t="inlineStr">
        <is>
          <t>All</t>
        </is>
      </c>
      <c r="H28" s="40">
        <f>IF(AND(TRUE(),TRUE()),"Yes","No")</f>
        <v/>
      </c>
      <c r="I28" s="41" t="n"/>
      <c r="J28" s="42" t="n"/>
      <c r="K28" s="43">
        <f>IF(I28&lt;&gt;"",I28,H28)</f>
        <v/>
      </c>
      <c r="L28" s="38">
        <f>IF(K28="No","Not applicable",IF(Profile!$C$5="Fintech (sponsor bank program)","Direct","Direct"))</f>
        <v/>
      </c>
      <c r="M28" s="40" t="n"/>
      <c r="N28" s="40" t="inlineStr">
        <is>
          <t>X</t>
        </is>
      </c>
      <c r="O28" s="40" t="inlineStr">
        <is>
          <t>X</t>
        </is>
      </c>
      <c r="P28" s="40" t="inlineStr">
        <is>
          <t>X</t>
        </is>
      </c>
      <c r="Q28" s="40" t="n"/>
      <c r="R28" s="40" t="n"/>
      <c r="S28" s="40" t="inlineStr">
        <is>
          <t>X</t>
        </is>
      </c>
      <c r="T28" s="38" t="inlineStr">
        <is>
          <t>PRV-POL-01; PRV-FRM-01</t>
        </is>
      </c>
      <c r="U28" s="38" t="n"/>
      <c r="V28" s="42" t="n"/>
      <c r="W28" s="41" t="n"/>
      <c r="X28" s="44" t="n"/>
      <c r="Y28" s="45">
        <f>IF(OR(C28="",K28&lt;&gt;"Yes"),"",IF(AND(I28&lt;&gt;"",J28=""),"Explain the override",IF(V28="","Assign an owner",IF(W28&lt;&gt;"Yes","No adopted policy",IF(OR(X28="",Profile!$B$30&gt;X28+365),"Review overdue","")))))</f>
        <v/>
      </c>
    </row>
    <row r="29" ht="39.75" customHeight="1" s="30">
      <c r="A29" s="38" t="inlineStr">
        <is>
          <t>R-25</t>
        </is>
      </c>
      <c r="B29" s="38" t="inlineStr">
        <is>
          <t>Privacy &amp; communications</t>
        </is>
      </c>
      <c r="C29" s="39" t="inlineStr">
        <is>
          <t>Information security: FTC Safeguards Rule</t>
        </is>
      </c>
      <c r="D29" s="38" t="inlineStr">
        <is>
          <t>16 CFR 314</t>
        </is>
      </c>
      <c r="E29" s="38" t="inlineStr">
        <is>
          <t>FTC</t>
        </is>
      </c>
      <c r="F29" s="38" t="inlineStr">
        <is>
          <t>Written information security program, qualified individual, testing, board reporting, FTC breach notice</t>
        </is>
      </c>
      <c r="G29" s="38" t="inlineStr">
        <is>
          <t>All</t>
        </is>
      </c>
      <c r="H29" s="40">
        <f>IF(AND(Profile!$C$5="Fintech (sponsor bank program)",TRUE()),"Yes","No")</f>
        <v/>
      </c>
      <c r="I29" s="41" t="n"/>
      <c r="J29" s="42" t="n"/>
      <c r="K29" s="43">
        <f>IF(I29&lt;&gt;"",I29,H29)</f>
        <v/>
      </c>
      <c r="L29" s="38">
        <f>IF(K29="No","Not applicable",IF(Profile!$C$5="Fintech (sponsor bank program)","Direct","—"))</f>
        <v/>
      </c>
      <c r="M29" s="40" t="n"/>
      <c r="N29" s="40" t="n"/>
      <c r="O29" s="40" t="n"/>
      <c r="P29" s="40" t="inlineStr">
        <is>
          <t>X</t>
        </is>
      </c>
      <c r="Q29" s="40" t="n"/>
      <c r="R29" s="40" t="n"/>
      <c r="S29" s="40" t="inlineStr">
        <is>
          <t>X</t>
        </is>
      </c>
      <c r="T29" s="38" t="inlineStr">
        <is>
          <t>OPR-POL-02; OPR-POL-03</t>
        </is>
      </c>
      <c r="U29" s="46" t="inlineStr">
        <is>
          <t>FTC notice within 30 days for events affecting 500+ consumers</t>
        </is>
      </c>
      <c r="V29" s="42" t="n"/>
      <c r="W29" s="41" t="n"/>
      <c r="X29" s="44" t="n"/>
      <c r="Y29" s="45">
        <f>IF(OR(C29="",K29&lt;&gt;"Yes"),"",IF(AND(I29&lt;&gt;"",J29=""),"Explain the override",IF(V29="","Assign an owner",IF(W29&lt;&gt;"Yes","No adopted policy",IF(OR(X29="",Profile!$B$30&gt;X29+365),"Review overdue","")))))</f>
        <v/>
      </c>
    </row>
    <row r="30" ht="39.75" customHeight="1" s="30">
      <c r="A30" s="38" t="inlineStr">
        <is>
          <t>R-26</t>
        </is>
      </c>
      <c r="B30" s="38" t="inlineStr">
        <is>
          <t>Privacy &amp; communications</t>
        </is>
      </c>
      <c r="C30" s="39" t="inlineStr">
        <is>
          <t>Information security: Interagency Guidelines</t>
        </is>
      </c>
      <c r="D30" s="38" t="inlineStr">
        <is>
          <t>12 CFR 364 App. B (FDIC); 12 CFR 30 App. B (OCC); NCUA 12 CFR 748 App. A</t>
        </is>
      </c>
      <c r="E30" s="38" t="inlineStr">
        <is>
          <t>Prudential regulators</t>
        </is>
      </c>
      <c r="F30" s="38" t="inlineStr">
        <is>
          <t>Information security program, service provider oversight, board reporting, incident response</t>
        </is>
      </c>
      <c r="G30" s="38" t="inlineStr">
        <is>
          <t>All</t>
        </is>
      </c>
      <c r="H30" s="40">
        <f>IF(AND(Profile!$C$5&lt;&gt;"Fintech (sponsor bank program)",TRUE()),"Yes","No")</f>
        <v/>
      </c>
      <c r="I30" s="41" t="n"/>
      <c r="J30" s="42" t="n"/>
      <c r="K30" s="43">
        <f>IF(I30&lt;&gt;"",I30,H30)</f>
        <v/>
      </c>
      <c r="L30" s="38">
        <f>IF(K30="No","Not applicable",IF(Profile!$C$5="Fintech (sponsor bank program)","—","Direct"))</f>
        <v/>
      </c>
      <c r="M30" s="40" t="n"/>
      <c r="N30" s="40" t="n"/>
      <c r="O30" s="40" t="n"/>
      <c r="P30" s="40" t="inlineStr">
        <is>
          <t>X</t>
        </is>
      </c>
      <c r="Q30" s="40" t="n"/>
      <c r="R30" s="40" t="n"/>
      <c r="S30" s="40" t="inlineStr">
        <is>
          <t>X</t>
        </is>
      </c>
      <c r="T30" s="38" t="inlineStr">
        <is>
          <t>OPR-POL-02; OPR-POL-03</t>
        </is>
      </c>
      <c r="U30" s="38" t="n"/>
      <c r="V30" s="42" t="n"/>
      <c r="W30" s="41" t="n"/>
      <c r="X30" s="44" t="n"/>
      <c r="Y30" s="45">
        <f>IF(OR(C30="",K30&lt;&gt;"Yes"),"",IF(AND(I30&lt;&gt;"",J30=""),"Explain the override",IF(V30="","Assign an owner",IF(W30&lt;&gt;"Yes","No adopted policy",IF(OR(X30="",Profile!$B$30&gt;X30+365),"Review overdue","")))))</f>
        <v/>
      </c>
    </row>
    <row r="31" ht="39.75" customHeight="1" s="30">
      <c r="A31" s="38" t="inlineStr">
        <is>
          <t>R-27</t>
        </is>
      </c>
      <c r="B31" s="38" t="inlineStr">
        <is>
          <t>Privacy &amp; communications</t>
        </is>
      </c>
      <c r="C31" s="39" t="inlineStr">
        <is>
          <t>State privacy and data breach laws</t>
        </is>
      </c>
      <c r="D31" s="38" t="inlineStr">
        <is>
          <t>State law (e.g., CCPA/CPRA)</t>
        </is>
      </c>
      <c r="E31" s="38" t="inlineStr">
        <is>
          <t>States</t>
        </is>
      </c>
      <c r="F31" s="38" t="inlineStr">
        <is>
          <t>Consumer privacy rights (subject to GLBA exemptions) and breach notification</t>
        </is>
      </c>
      <c r="G31" s="38" t="inlineStr">
        <is>
          <t>All</t>
        </is>
      </c>
      <c r="H31" s="40">
        <f>IF(AND(TRUE(),TRUE()),"Yes","No")</f>
        <v/>
      </c>
      <c r="I31" s="41" t="n"/>
      <c r="J31" s="42" t="n"/>
      <c r="K31" s="43">
        <f>IF(I31&lt;&gt;"",I31,H31)</f>
        <v/>
      </c>
      <c r="L31" s="38">
        <f>IF(K31="No","Not applicable",IF(Profile!$C$5="Fintech (sponsor bank program)","Direct","Direct"))</f>
        <v/>
      </c>
      <c r="M31" s="40" t="n"/>
      <c r="N31" s="40" t="inlineStr">
        <is>
          <t>X</t>
        </is>
      </c>
      <c r="O31" s="40" t="inlineStr">
        <is>
          <t>X</t>
        </is>
      </c>
      <c r="P31" s="40" t="inlineStr">
        <is>
          <t>X</t>
        </is>
      </c>
      <c r="Q31" s="40" t="n"/>
      <c r="R31" s="40" t="n"/>
      <c r="S31" s="40" t="inlineStr">
        <is>
          <t>X</t>
        </is>
      </c>
      <c r="T31" s="38" t="inlineStr">
        <is>
          <t>PRV-POL-02; PRV-FRM-02</t>
        </is>
      </c>
      <c r="U31" s="38" t="n"/>
      <c r="V31" s="42" t="n"/>
      <c r="W31" s="41" t="n"/>
      <c r="X31" s="44" t="n"/>
      <c r="Y31" s="45">
        <f>IF(OR(C31="",K31&lt;&gt;"Yes"),"",IF(AND(I31&lt;&gt;"",J31=""),"Explain the override",IF(V31="","Assign an owner",IF(W31&lt;&gt;"Yes","No adopted policy",IF(OR(X31="",Profile!$B$30&gt;X31+365),"Review overdue","")))))</f>
        <v/>
      </c>
    </row>
    <row r="32" ht="39.75" customHeight="1" s="30">
      <c r="A32" s="38" t="inlineStr">
        <is>
          <t>R-28</t>
        </is>
      </c>
      <c r="B32" s="38" t="inlineStr">
        <is>
          <t>Privacy &amp; communications</t>
        </is>
      </c>
      <c r="C32" s="39" t="inlineStr">
        <is>
          <t>Fair Credit Reporting Act / Regulation V (users)</t>
        </is>
      </c>
      <c r="D32" s="38" t="inlineStr">
        <is>
          <t>15 U.S.C. 1681 et seq.; 12 CFR 1022</t>
        </is>
      </c>
      <c r="E32" s="38" t="inlineStr">
        <is>
          <t>CFPB</t>
        </is>
      </c>
      <c r="F32" s="38" t="inlineStr">
        <is>
          <t>Permissible purpose, adverse action, risk-based pricing, affiliate marketing</t>
        </is>
      </c>
      <c r="G32" s="38" t="inlineStr">
        <is>
          <t>F4</t>
        </is>
      </c>
      <c r="H32" s="40">
        <f>IF(AND(TRUE(),Profile!$C$20="Yes"),"Yes","No")</f>
        <v/>
      </c>
      <c r="I32" s="41" t="n"/>
      <c r="J32" s="42" t="n"/>
      <c r="K32" s="43">
        <f>IF(I32&lt;&gt;"",I32,H32)</f>
        <v/>
      </c>
      <c r="L32" s="38">
        <f>IF(K32="No","Not applicable",IF(Profile!$C$5="Fintech (sponsor bank program)","Direct","Direct"))</f>
        <v/>
      </c>
      <c r="M32" s="40" t="inlineStr">
        <is>
          <t>X</t>
        </is>
      </c>
      <c r="N32" s="40" t="inlineStr">
        <is>
          <t>X</t>
        </is>
      </c>
      <c r="O32" s="40" t="n"/>
      <c r="P32" s="40" t="n"/>
      <c r="Q32" s="40" t="n"/>
      <c r="R32" s="40" t="n"/>
      <c r="S32" s="40" t="n"/>
      <c r="T32" s="38" t="inlineStr">
        <is>
          <t>LEN-POL-04; LEN-PRO-01</t>
        </is>
      </c>
      <c r="U32" s="38" t="n"/>
      <c r="V32" s="42" t="n"/>
      <c r="W32" s="41" t="n"/>
      <c r="X32" s="44" t="n"/>
      <c r="Y32" s="45">
        <f>IF(OR(C32="",K32&lt;&gt;"Yes"),"",IF(AND(I32&lt;&gt;"",J32=""),"Explain the override",IF(V32="","Assign an owner",IF(W32&lt;&gt;"Yes","No adopted policy",IF(OR(X32="",Profile!$B$30&gt;X32+365),"Review overdue","")))))</f>
        <v/>
      </c>
    </row>
    <row r="33" ht="39.75" customHeight="1" s="30">
      <c r="A33" s="38" t="inlineStr">
        <is>
          <t>R-29</t>
        </is>
      </c>
      <c r="B33" s="38" t="inlineStr">
        <is>
          <t>Privacy &amp; communications</t>
        </is>
      </c>
      <c r="C33" s="39" t="inlineStr">
        <is>
          <t>Fair Credit Reporting Act / Regulation V (furnishers)</t>
        </is>
      </c>
      <c r="D33" s="38" t="inlineStr">
        <is>
          <t>12 CFR 1022.40–1022.43</t>
        </is>
      </c>
      <c r="E33" s="38" t="inlineStr">
        <is>
          <t>CFPB</t>
        </is>
      </c>
      <c r="F33" s="38" t="inlineStr">
        <is>
          <t>Accuracy and integrity of furnished data; direct disputes</t>
        </is>
      </c>
      <c r="G33" s="38" t="inlineStr">
        <is>
          <t>F5</t>
        </is>
      </c>
      <c r="H33" s="40">
        <f>IF(AND(TRUE(),Profile!$C$21="Yes"),"Yes","No")</f>
        <v/>
      </c>
      <c r="I33" s="41" t="n"/>
      <c r="J33" s="42" t="n"/>
      <c r="K33" s="43">
        <f>IF(I33&lt;&gt;"",I33,H33)</f>
        <v/>
      </c>
      <c r="L33" s="38">
        <f>IF(K33="No","Not applicable",IF(Profile!$C$5="Fintech (sponsor bank program)","Direct if it furnishes","Direct"))</f>
        <v/>
      </c>
      <c r="M33" s="40" t="n"/>
      <c r="N33" s="40" t="n"/>
      <c r="O33" s="40" t="n"/>
      <c r="P33" s="40" t="inlineStr">
        <is>
          <t>X</t>
        </is>
      </c>
      <c r="Q33" s="40" t="inlineStr">
        <is>
          <t>X</t>
        </is>
      </c>
      <c r="R33" s="40" t="n"/>
      <c r="S33" s="40" t="n"/>
      <c r="T33" s="38" t="inlineStr">
        <is>
          <t>LEN-POL-04</t>
        </is>
      </c>
      <c r="U33" s="38" t="n"/>
      <c r="V33" s="42" t="n"/>
      <c r="W33" s="41" t="n"/>
      <c r="X33" s="44" t="n"/>
      <c r="Y33" s="45">
        <f>IF(OR(C33="",K33&lt;&gt;"Yes"),"",IF(AND(I33&lt;&gt;"",J33=""),"Explain the override",IF(V33="","Assign an owner",IF(W33&lt;&gt;"Yes","No adopted policy",IF(OR(X33="",Profile!$B$30&gt;X33+365),"Review overdue","")))))</f>
        <v/>
      </c>
    </row>
    <row r="34" ht="39.75" customHeight="1" s="30">
      <c r="A34" s="38" t="inlineStr">
        <is>
          <t>R-30</t>
        </is>
      </c>
      <c r="B34" s="38" t="inlineStr">
        <is>
          <t>Privacy &amp; communications</t>
        </is>
      </c>
      <c r="C34" s="39" t="inlineStr">
        <is>
          <t>Identity Theft Red Flags</t>
        </is>
      </c>
      <c r="D34" s="38" t="inlineStr">
        <is>
          <t>16 CFR 681 (FTC); 12 CFR 41.90 (OCC), 334.90 (FDIC), 717.90 (NCUA)</t>
        </is>
      </c>
      <c r="E34" s="38" t="inlineStr">
        <is>
          <t>FTC / prudential</t>
        </is>
      </c>
      <c r="F34" s="38" t="inlineStr">
        <is>
          <t>Identity theft prevention program for covered accounts</t>
        </is>
      </c>
      <c r="G34" s="38" t="inlineStr">
        <is>
          <t>P1, P3, P4, P5, P6, P7, P8</t>
        </is>
      </c>
      <c r="H34" s="40">
        <f>IF(AND(TRUE(),OR(Profile!$C$6="Yes",Profile!$C$8="Yes",Profile!$C$9="Yes",Profile!$C$10="Yes",Profile!$C$11="Yes",Profile!$C$12="Yes",Profile!$C$13="Yes")),"Yes","No")</f>
        <v/>
      </c>
      <c r="I34" s="41" t="n"/>
      <c r="J34" s="42" t="n"/>
      <c r="K34" s="43">
        <f>IF(I34&lt;&gt;"",I34,H34)</f>
        <v/>
      </c>
      <c r="L34" s="38">
        <f>IF(K34="No","Not applicable",IF(Profile!$C$5="Fintech (sponsor bank program)","Direct as a creditor or financial institution with covered accounts; for the Sponsor Bank","Direct"))</f>
        <v/>
      </c>
      <c r="M34" s="40" t="n"/>
      <c r="N34" s="40" t="inlineStr">
        <is>
          <t>X</t>
        </is>
      </c>
      <c r="O34" s="40" t="n"/>
      <c r="P34" s="40" t="inlineStr">
        <is>
          <t>X</t>
        </is>
      </c>
      <c r="Q34" s="40" t="n"/>
      <c r="R34" s="40" t="n"/>
      <c r="S34" s="40" t="n"/>
      <c r="T34" s="38" t="inlineStr">
        <is>
          <t>BSA-POL-03; BSA-TLS-02</t>
        </is>
      </c>
      <c r="U34" s="38" t="n"/>
      <c r="V34" s="42" t="n"/>
      <c r="W34" s="41" t="n"/>
      <c r="X34" s="44" t="n"/>
      <c r="Y34" s="45">
        <f>IF(OR(C34="",K34&lt;&gt;"Yes"),"",IF(AND(I34&lt;&gt;"",J34=""),"Explain the override",IF(V34="","Assign an owner",IF(W34&lt;&gt;"Yes","No adopted policy",IF(OR(X34="",Profile!$B$30&gt;X34+365),"Review overdue","")))))</f>
        <v/>
      </c>
    </row>
    <row r="35" ht="39.75" customHeight="1" s="30">
      <c r="A35" s="38" t="inlineStr">
        <is>
          <t>R-31</t>
        </is>
      </c>
      <c r="B35" s="38" t="inlineStr">
        <is>
          <t>Privacy &amp; communications</t>
        </is>
      </c>
      <c r="C35" s="39" t="inlineStr">
        <is>
          <t>Telephone Consumer Protection Act</t>
        </is>
      </c>
      <c r="D35" s="38" t="inlineStr">
        <is>
          <t>47 U.S.C. 227; 47 CFR 64.1200</t>
        </is>
      </c>
      <c r="E35" s="38" t="inlineStr">
        <is>
          <t>FCC</t>
        </is>
      </c>
      <c r="F35" s="38" t="inlineStr">
        <is>
          <t>Consent for autodialed and prerecorded calls and texts; revocation; do-not-call</t>
        </is>
      </c>
      <c r="G35" s="38" t="inlineStr">
        <is>
          <t>F2</t>
        </is>
      </c>
      <c r="H35" s="40">
        <f>IF(AND(TRUE(),Profile!$C$18="Yes"),"Yes","No")</f>
        <v/>
      </c>
      <c r="I35" s="41" t="n"/>
      <c r="J35" s="42" t="n"/>
      <c r="K35" s="43">
        <f>IF(I35&lt;&gt;"",I35,H35)</f>
        <v/>
      </c>
      <c r="L35" s="38">
        <f>IF(K35="No","Not applicable",IF(Profile!$C$5="Fintech (sponsor bank program)","Direct","Direct"))</f>
        <v/>
      </c>
      <c r="M35" s="40" t="inlineStr">
        <is>
          <t>X</t>
        </is>
      </c>
      <c r="N35" s="40" t="n"/>
      <c r="O35" s="40" t="n"/>
      <c r="P35" s="40" t="inlineStr">
        <is>
          <t>X</t>
        </is>
      </c>
      <c r="Q35" s="40" t="n"/>
      <c r="R35" s="40" t="inlineStr">
        <is>
          <t>X</t>
        </is>
      </c>
      <c r="S35" s="40" t="n"/>
      <c r="T35" s="38" t="inlineStr">
        <is>
          <t>PRV-POL-03</t>
        </is>
      </c>
      <c r="U35" s="46" t="inlineStr">
        <is>
          <t>Revocations honored within 10 business days; "revoke-all" delayed to January 31, 2027</t>
        </is>
      </c>
      <c r="V35" s="42" t="n"/>
      <c r="W35" s="41" t="n"/>
      <c r="X35" s="44" t="n"/>
      <c r="Y35" s="45">
        <f>IF(OR(C35="",K35&lt;&gt;"Yes"),"",IF(AND(I35&lt;&gt;"",J35=""),"Explain the override",IF(V35="","Assign an owner",IF(W35&lt;&gt;"Yes","No adopted policy",IF(OR(X35="",Profile!$B$30&gt;X35+365),"Review overdue","")))))</f>
        <v/>
      </c>
    </row>
    <row r="36" ht="39.75" customHeight="1" s="30">
      <c r="A36" s="38" t="inlineStr">
        <is>
          <t>R-32</t>
        </is>
      </c>
      <c r="B36" s="38" t="inlineStr">
        <is>
          <t>Privacy &amp; communications</t>
        </is>
      </c>
      <c r="C36" s="39" t="inlineStr">
        <is>
          <t>CAN-SPAM Act</t>
        </is>
      </c>
      <c r="D36" s="38" t="inlineStr">
        <is>
          <t>15 U.S.C. 7701 et seq.; 16 CFR 316</t>
        </is>
      </c>
      <c r="E36" s="38" t="inlineStr">
        <is>
          <t>FTC</t>
        </is>
      </c>
      <c r="F36" s="38" t="inlineStr">
        <is>
          <t>Commercial email identification and opt-out</t>
        </is>
      </c>
      <c r="G36" s="38" t="inlineStr">
        <is>
          <t>F3</t>
        </is>
      </c>
      <c r="H36" s="40">
        <f>IF(AND(TRUE(),Profile!$C$19="Yes"),"Yes","No")</f>
        <v/>
      </c>
      <c r="I36" s="41" t="n"/>
      <c r="J36" s="42" t="n"/>
      <c r="K36" s="43">
        <f>IF(I36&lt;&gt;"",I36,H36)</f>
        <v/>
      </c>
      <c r="L36" s="38">
        <f>IF(K36="No","Not applicable",IF(Profile!$C$5="Fintech (sponsor bank program)","Direct","Direct"))</f>
        <v/>
      </c>
      <c r="M36" s="40" t="inlineStr">
        <is>
          <t>X</t>
        </is>
      </c>
      <c r="N36" s="40" t="n"/>
      <c r="O36" s="40" t="n"/>
      <c r="P36" s="40" t="n"/>
      <c r="Q36" s="40" t="n"/>
      <c r="R36" s="40" t="n"/>
      <c r="S36" s="40" t="n"/>
      <c r="T36" s="38" t="inlineStr">
        <is>
          <t>PRV-POL-04</t>
        </is>
      </c>
      <c r="U36" s="38" t="n"/>
      <c r="V36" s="42" t="n"/>
      <c r="W36" s="41" t="n"/>
      <c r="X36" s="44" t="n"/>
      <c r="Y36" s="45">
        <f>IF(OR(C36="",K36&lt;&gt;"Yes"),"",IF(AND(I36&lt;&gt;"",J36=""),"Explain the override",IF(V36="","Assign an owner",IF(W36&lt;&gt;"Yes","No adopted policy",IF(OR(X36="",Profile!$B$30&gt;X36+365),"Review overdue","")))))</f>
        <v/>
      </c>
    </row>
    <row r="37" ht="39.75" customHeight="1" s="30">
      <c r="A37" s="38" t="inlineStr">
        <is>
          <t>R-33</t>
        </is>
      </c>
      <c r="B37" s="38" t="inlineStr">
        <is>
          <t>Privacy &amp; communications</t>
        </is>
      </c>
      <c r="C37" s="39" t="inlineStr">
        <is>
          <t>Right to Financial Privacy Act</t>
        </is>
      </c>
      <c r="D37" s="38" t="inlineStr">
        <is>
          <t>12 U.S.C. 3401 et seq.</t>
        </is>
      </c>
      <c r="E37" s="38" t="inlineStr">
        <is>
          <t>—</t>
        </is>
      </c>
      <c r="F37" s="38" t="inlineStr">
        <is>
          <t>Government access to customer records</t>
        </is>
      </c>
      <c r="G37" s="38" t="inlineStr">
        <is>
          <t>P1, P3, P4, P5</t>
        </is>
      </c>
      <c r="H37" s="40">
        <f>IF(AND(TRUE(),OR(Profile!$C$6="Yes",Profile!$C$8="Yes",Profile!$C$9="Yes",Profile!$C$10="Yes")),"Yes","No")</f>
        <v/>
      </c>
      <c r="I37" s="41" t="n"/>
      <c r="J37" s="42" t="n"/>
      <c r="K37" s="43">
        <f>IF(I37&lt;&gt;"",I37,H37)</f>
        <v/>
      </c>
      <c r="L37" s="38">
        <f>IF(K37="No","Not applicable",IF(Profile!$C$5="Fintech (sponsor bank program)","Applies to card issuers and financial institutions; route requests through the Sponsor Bank","Direct"))</f>
        <v/>
      </c>
      <c r="M37" s="40" t="n"/>
      <c r="N37" s="40" t="n"/>
      <c r="O37" s="40" t="n"/>
      <c r="P37" s="40" t="n"/>
      <c r="Q37" s="40" t="n"/>
      <c r="R37" s="40" t="n"/>
      <c r="S37" s="40" t="inlineStr">
        <is>
          <t>X</t>
        </is>
      </c>
      <c r="T37" s="38" t="inlineStr">
        <is>
          <t>PRV-POL-05; BSA-PRO-04</t>
        </is>
      </c>
      <c r="U37" s="38" t="n"/>
      <c r="V37" s="42" t="n"/>
      <c r="W37" s="41" t="n"/>
      <c r="X37" s="44" t="n"/>
      <c r="Y37" s="45">
        <f>IF(OR(C37="",K37&lt;&gt;"Yes"),"",IF(AND(I37&lt;&gt;"",J37=""),"Explain the override",IF(V37="","Assign an owner",IF(W37&lt;&gt;"Yes","No adopted policy",IF(OR(X37="",Profile!$B$30&gt;X37+365),"Review overdue","")))))</f>
        <v/>
      </c>
    </row>
    <row r="38" ht="39.75" customHeight="1" s="30">
      <c r="A38" s="38" t="inlineStr">
        <is>
          <t>R-34</t>
        </is>
      </c>
      <c r="B38" s="38" t="inlineStr">
        <is>
          <t>Privacy &amp; communications</t>
        </is>
      </c>
      <c r="C38" s="39" t="inlineStr">
        <is>
          <t>Personal financial data rights (Section 1033)</t>
        </is>
      </c>
      <c r="D38" s="38" t="inlineStr">
        <is>
          <t>12 U.S.C. 5533; 12 CFR 1033</t>
        </is>
      </c>
      <c r="E38" s="38" t="inlineStr">
        <is>
          <t>CFPB</t>
        </is>
      </c>
      <c r="F38" s="38" t="inlineStr">
        <is>
          <t>Consumer data access and third-party sharing</t>
        </is>
      </c>
      <c r="G38" s="38" t="inlineStr">
        <is>
          <t>P1, P3, P4, P5, P6</t>
        </is>
      </c>
      <c r="H38" s="40">
        <f>IF(AND(TRUE(),OR(Profile!$C$6="Yes",Profile!$C$8="Yes",Profile!$C$9="Yes",Profile!$C$10="Yes",Profile!$C$11="Yes")),"Yes","No")</f>
        <v/>
      </c>
      <c r="I38" s="41" t="n"/>
      <c r="J38" s="42" t="n"/>
      <c r="K38" s="43">
        <f>IF(I38&lt;&gt;"",I38,H38)</f>
        <v/>
      </c>
      <c r="L38" s="38">
        <f>IF(K38="No","Not applicable",IF(Profile!$C$5="Fintech (sponsor bank program)","Monitor","Monitor"))</f>
        <v/>
      </c>
      <c r="M38" s="40" t="n"/>
      <c r="N38" s="40" t="n"/>
      <c r="O38" s="40" t="n"/>
      <c r="P38" s="40" t="inlineStr">
        <is>
          <t>X</t>
        </is>
      </c>
      <c r="Q38" s="40" t="n"/>
      <c r="R38" s="40" t="n"/>
      <c r="S38" s="40" t="n"/>
      <c r="T38" s="38" t="inlineStr">
        <is>
          <t>PRV-POL-01</t>
        </is>
      </c>
      <c r="U38" s="46" t="inlineStr">
        <is>
          <t>October 2024 rule enjoined during reconsideration; not enforceable now</t>
        </is>
      </c>
      <c r="V38" s="42" t="n"/>
      <c r="W38" s="41" t="n"/>
      <c r="X38" s="44" t="n"/>
      <c r="Y38" s="45">
        <f>IF(OR(C38="",K38&lt;&gt;"Yes"),"",IF(AND(I38&lt;&gt;"",J38=""),"Explain the override",IF(V38="","Assign an owner",IF(W38&lt;&gt;"Yes","No adopted policy",IF(OR(X38="",Profile!$B$30&gt;X38+365),"Review overdue","")))))</f>
        <v/>
      </c>
    </row>
    <row r="39" ht="39.75" customHeight="1" s="30">
      <c r="A39" s="38" t="inlineStr">
        <is>
          <t>R-35</t>
        </is>
      </c>
      <c r="B39" s="38" t="inlineStr">
        <is>
          <t>BSA/AML &amp; sanctions</t>
        </is>
      </c>
      <c r="C39" s="39" t="inlineStr">
        <is>
          <t>BSA/AML program</t>
        </is>
      </c>
      <c r="D39" s="38" t="inlineStr">
        <is>
          <t>31 CFR 1020.210 (banks); 1022.210 (MSBs); agency rules (12 CFR 21.21, 326.8, 208.63, 748.2)</t>
        </is>
      </c>
      <c r="E39" s="38" t="inlineStr">
        <is>
          <t>FinCEN / prudential</t>
        </is>
      </c>
      <c r="F39" s="38" t="inlineStr">
        <is>
          <t>Internal controls, independent testing, BSA Officer, training, CDD</t>
        </is>
      </c>
      <c r="G39" s="38" t="inlineStr">
        <is>
          <t>All</t>
        </is>
      </c>
      <c r="H39" s="40">
        <f>IF(AND(TRUE(),TRUE()),"Yes","No")</f>
        <v/>
      </c>
      <c r="I39" s="41" t="n"/>
      <c r="J39" s="42" t="n"/>
      <c r="K39" s="43">
        <f>IF(I39&lt;&gt;"",I39,H39)</f>
        <v/>
      </c>
      <c r="L39" s="38">
        <f>IF(K39="No","Not applicable",IF(Profile!$C$5="Fintech (sponsor bank program)","Supports the Sponsor Bank’s program; own program if an MSB","Direct; Board-approved"))</f>
        <v/>
      </c>
      <c r="M39" s="40" t="n"/>
      <c r="N39" s="40" t="inlineStr">
        <is>
          <t>X</t>
        </is>
      </c>
      <c r="O39" s="40" t="n"/>
      <c r="P39" s="40" t="inlineStr">
        <is>
          <t>X</t>
        </is>
      </c>
      <c r="Q39" s="40" t="n"/>
      <c r="R39" s="40" t="n"/>
      <c r="S39" s="40" t="inlineStr">
        <is>
          <t>X</t>
        </is>
      </c>
      <c r="T39" s="38" t="inlineStr">
        <is>
          <t>BSA-POL-01</t>
        </is>
      </c>
      <c r="U39" s="46" t="inlineStr">
        <is>
          <t>FinCEN program NPRM (April 2026) pending</t>
        </is>
      </c>
      <c r="V39" s="42" t="n"/>
      <c r="W39" s="41" t="n"/>
      <c r="X39" s="44" t="n"/>
      <c r="Y39" s="45">
        <f>IF(OR(C39="",K39&lt;&gt;"Yes"),"",IF(AND(I39&lt;&gt;"",J39=""),"Explain the override",IF(V39="","Assign an owner",IF(W39&lt;&gt;"Yes","No adopted policy",IF(OR(X39="",Profile!$B$30&gt;X39+365),"Review overdue","")))))</f>
        <v/>
      </c>
    </row>
    <row r="40" ht="39.75" customHeight="1" s="30">
      <c r="A40" s="38" t="inlineStr">
        <is>
          <t>R-36</t>
        </is>
      </c>
      <c r="B40" s="38" t="inlineStr">
        <is>
          <t>BSA/AML &amp; sanctions</t>
        </is>
      </c>
      <c r="C40" s="39" t="inlineStr">
        <is>
          <t>Customer identification program</t>
        </is>
      </c>
      <c r="D40" s="38" t="inlineStr">
        <is>
          <t>31 CFR 1020.220</t>
        </is>
      </c>
      <c r="E40" s="38" t="inlineStr">
        <is>
          <t>FinCEN / prudential</t>
        </is>
      </c>
      <c r="F40" s="38" t="inlineStr">
        <is>
          <t>Identify and verify customers before or at account opening</t>
        </is>
      </c>
      <c r="G40" s="38" t="inlineStr">
        <is>
          <t>P1, P3, P4, P5, P6, P7, P8</t>
        </is>
      </c>
      <c r="H40" s="40">
        <f>IF(AND(TRUE(),OR(Profile!$C$6="Yes",Profile!$C$8="Yes",Profile!$C$9="Yes",Profile!$C$10="Yes",Profile!$C$11="Yes",Profile!$C$12="Yes",Profile!$C$13="Yes")),"Yes","No")</f>
        <v/>
      </c>
      <c r="I40" s="41" t="n"/>
      <c r="J40" s="42" t="n"/>
      <c r="K40" s="43">
        <f>IF(I40&lt;&gt;"",I40,H40)</f>
        <v/>
      </c>
      <c r="L40" s="38">
        <f>IF(K40="No","Not applicable",IF(Profile!$C$5="Fintech (sponsor bank program)","Performs for the Sponsor Bank","Direct (rule owner)"))</f>
        <v/>
      </c>
      <c r="M40" s="40" t="n"/>
      <c r="N40" s="40" t="inlineStr">
        <is>
          <t>X</t>
        </is>
      </c>
      <c r="O40" s="40" t="n"/>
      <c r="P40" s="40" t="n"/>
      <c r="Q40" s="40" t="n"/>
      <c r="R40" s="40" t="n"/>
      <c r="S40" s="40" t="inlineStr">
        <is>
          <t>X</t>
        </is>
      </c>
      <c r="T40" s="38" t="inlineStr">
        <is>
          <t>BSA-PRO-01</t>
        </is>
      </c>
      <c r="U40" s="38" t="n"/>
      <c r="V40" s="42" t="n"/>
      <c r="W40" s="41" t="n"/>
      <c r="X40" s="44" t="n"/>
      <c r="Y40" s="45">
        <f>IF(OR(C40="",K40&lt;&gt;"Yes"),"",IF(AND(I40&lt;&gt;"",J40=""),"Explain the override",IF(V40="","Assign an owner",IF(W40&lt;&gt;"Yes","No adopted policy",IF(OR(X40="",Profile!$B$30&gt;X40+365),"Review overdue","")))))</f>
        <v/>
      </c>
    </row>
    <row r="41" ht="39.75" customHeight="1" s="30">
      <c r="A41" s="38" t="inlineStr">
        <is>
          <t>R-37</t>
        </is>
      </c>
      <c r="B41" s="38" t="inlineStr">
        <is>
          <t>BSA/AML &amp; sanctions</t>
        </is>
      </c>
      <c r="C41" s="39" t="inlineStr">
        <is>
          <t>Beneficial ownership (CDD rule)</t>
        </is>
      </c>
      <c r="D41" s="38" t="inlineStr">
        <is>
          <t>31 CFR 1010.230</t>
        </is>
      </c>
      <c r="E41" s="38" t="inlineStr">
        <is>
          <t>FinCEN</t>
        </is>
      </c>
      <c r="F41" s="38" t="inlineStr">
        <is>
          <t>Identify and verify beneficial owners of legal entity customers</t>
        </is>
      </c>
      <c r="G41" s="38" t="inlineStr">
        <is>
          <t>P3, P8</t>
        </is>
      </c>
      <c r="H41" s="40">
        <f>IF(AND(TRUE(),OR(Profile!$C$8="Yes",Profile!$C$13="Yes")),"Yes","No")</f>
        <v/>
      </c>
      <c r="I41" s="41" t="n"/>
      <c r="J41" s="42" t="n"/>
      <c r="K41" s="43">
        <f>IF(I41&lt;&gt;"",I41,H41)</f>
        <v/>
      </c>
      <c r="L41" s="38">
        <f>IF(K41="No","Not applicable",IF(Profile!$C$5="Fintech (sponsor bank program)","Performs for the Sponsor Bank","Direct"))</f>
        <v/>
      </c>
      <c r="M41" s="40" t="n"/>
      <c r="N41" s="40" t="inlineStr">
        <is>
          <t>X</t>
        </is>
      </c>
      <c r="O41" s="40" t="n"/>
      <c r="P41" s="40" t="inlineStr">
        <is>
          <t>X</t>
        </is>
      </c>
      <c r="Q41" s="40" t="n"/>
      <c r="R41" s="40" t="n"/>
      <c r="S41" s="40" t="inlineStr">
        <is>
          <t>X</t>
        </is>
      </c>
      <c r="T41" s="38" t="inlineStr">
        <is>
          <t>BSA-PRO-01</t>
        </is>
      </c>
      <c r="U41" s="46" t="inlineStr">
        <is>
          <t>Exceptive relief February 13, 2026; CTA BOI reporting removed for U.S. companies (Aug 2026)</t>
        </is>
      </c>
      <c r="V41" s="42" t="n"/>
      <c r="W41" s="41" t="n"/>
      <c r="X41" s="44" t="n"/>
      <c r="Y41" s="45">
        <f>IF(OR(C41="",K41&lt;&gt;"Yes"),"",IF(AND(I41&lt;&gt;"",J41=""),"Explain the override",IF(V41="","Assign an owner",IF(W41&lt;&gt;"Yes","No adopted policy",IF(OR(X41="",Profile!$B$30&gt;X41+365),"Review overdue","")))))</f>
        <v/>
      </c>
    </row>
    <row r="42" ht="39.75" customHeight="1" s="30">
      <c r="A42" s="38" t="inlineStr">
        <is>
          <t>R-38</t>
        </is>
      </c>
      <c r="B42" s="38" t="inlineStr">
        <is>
          <t>BSA/AML &amp; sanctions</t>
        </is>
      </c>
      <c r="C42" s="39" t="inlineStr">
        <is>
          <t>Suspicious activity reporting</t>
        </is>
      </c>
      <c r="D42" s="38" t="inlineStr">
        <is>
          <t>31 CFR 1020.320 (banks); 1022.320 (MSBs); agency SAR rules</t>
        </is>
      </c>
      <c r="E42" s="38" t="inlineStr">
        <is>
          <t>FinCEN / prudential</t>
        </is>
      </c>
      <c r="F42" s="38" t="inlineStr">
        <is>
          <t>Detect and report suspicious activity; confidentiality</t>
        </is>
      </c>
      <c r="G42" s="38" t="inlineStr">
        <is>
          <t>All</t>
        </is>
      </c>
      <c r="H42" s="40">
        <f>IF(AND(TRUE(),TRUE()),"Yes","No")</f>
        <v/>
      </c>
      <c r="I42" s="41" t="n"/>
      <c r="J42" s="42" t="n"/>
      <c r="K42" s="43">
        <f>IF(I42&lt;&gt;"",I42,H42)</f>
        <v/>
      </c>
      <c r="L42" s="38">
        <f>IF(K42="No","Not applicable",IF(Profile!$C$5="Fintech (sponsor bank program)","Refers unusual activity to the Sponsor Bank; files own SARs if an MSB","Direct"))</f>
        <v/>
      </c>
      <c r="M42" s="40" t="n"/>
      <c r="N42" s="40" t="n"/>
      <c r="O42" s="40" t="n"/>
      <c r="P42" s="40" t="inlineStr">
        <is>
          <t>X</t>
        </is>
      </c>
      <c r="Q42" s="40" t="n"/>
      <c r="R42" s="40" t="n"/>
      <c r="S42" s="40" t="inlineStr">
        <is>
          <t>X</t>
        </is>
      </c>
      <c r="T42" s="38" t="inlineStr">
        <is>
          <t>BSA-PRO-02</t>
        </is>
      </c>
      <c r="U42" s="46" t="inlineStr">
        <is>
          <t>Interagency SAR FAQs October 2025</t>
        </is>
      </c>
      <c r="V42" s="42" t="n"/>
      <c r="W42" s="41" t="n"/>
      <c r="X42" s="44" t="n"/>
      <c r="Y42" s="45">
        <f>IF(OR(C42="",K42&lt;&gt;"Yes"),"",IF(AND(I42&lt;&gt;"",J42=""),"Explain the override",IF(V42="","Assign an owner",IF(W42&lt;&gt;"Yes","No adopted policy",IF(OR(X42="",Profile!$B$30&gt;X42+365),"Review overdue","")))))</f>
        <v/>
      </c>
    </row>
    <row r="43" ht="39.75" customHeight="1" s="30">
      <c r="A43" s="38" t="inlineStr">
        <is>
          <t>R-39</t>
        </is>
      </c>
      <c r="B43" s="38" t="inlineStr">
        <is>
          <t>BSA/AML &amp; sanctions</t>
        </is>
      </c>
      <c r="C43" s="39" t="inlineStr">
        <is>
          <t>Currency transaction reporting</t>
        </is>
      </c>
      <c r="D43" s="38" t="inlineStr">
        <is>
          <t>31 CFR 1010.311, 1010.313; 1020.315</t>
        </is>
      </c>
      <c r="E43" s="38" t="inlineStr">
        <is>
          <t>FinCEN</t>
        </is>
      </c>
      <c r="F43" s="38" t="inlineStr">
        <is>
          <t>Report cash transactions over $10,000; exemptions</t>
        </is>
      </c>
      <c r="G43" s="38" t="inlineStr">
        <is>
          <t>P11</t>
        </is>
      </c>
      <c r="H43" s="40">
        <f>IF(AND(TRUE(),Profile!$C$16="Yes"),"Yes","No")</f>
        <v/>
      </c>
      <c r="I43" s="41" t="n"/>
      <c r="J43" s="42" t="n"/>
      <c r="K43" s="43">
        <f>IF(I43&lt;&gt;"",I43,H43)</f>
        <v/>
      </c>
      <c r="L43" s="38">
        <f>IF(K43="No","Not applicable",IF(Profile!$C$5="Fintech (sponsor bank program)","Through the Sponsor Bank; own CTRs if an MSB","Direct"))</f>
        <v/>
      </c>
      <c r="M43" s="40" t="n"/>
      <c r="N43" s="40" t="n"/>
      <c r="O43" s="40" t="n"/>
      <c r="P43" s="40" t="inlineStr">
        <is>
          <t>X</t>
        </is>
      </c>
      <c r="Q43" s="40" t="n"/>
      <c r="R43" s="40" t="n"/>
      <c r="S43" s="40" t="inlineStr">
        <is>
          <t>X</t>
        </is>
      </c>
      <c r="T43" s="38" t="inlineStr">
        <is>
          <t>BSA-PRO-06</t>
        </is>
      </c>
      <c r="U43" s="38" t="n"/>
      <c r="V43" s="42" t="n"/>
      <c r="W43" s="41" t="n"/>
      <c r="X43" s="44" t="n"/>
      <c r="Y43" s="45">
        <f>IF(OR(C43="",K43&lt;&gt;"Yes"),"",IF(AND(I43&lt;&gt;"",J43=""),"Explain the override",IF(V43="","Assign an owner",IF(W43&lt;&gt;"Yes","No adopted policy",IF(OR(X43="",Profile!$B$30&gt;X43+365),"Review overdue","")))))</f>
        <v/>
      </c>
    </row>
    <row r="44" ht="39.75" customHeight="1" s="30">
      <c r="A44" s="38" t="inlineStr">
        <is>
          <t>R-40</t>
        </is>
      </c>
      <c r="B44" s="38" t="inlineStr">
        <is>
          <t>BSA/AML &amp; sanctions</t>
        </is>
      </c>
      <c r="C44" s="39" t="inlineStr">
        <is>
          <t>Funds transfer and monetary instrument records</t>
        </is>
      </c>
      <c r="D44" s="38" t="inlineStr">
        <is>
          <t>31 CFR 1010.410, 1020.410, 1010.415</t>
        </is>
      </c>
      <c r="E44" s="38" t="inlineStr">
        <is>
          <t>FinCEN</t>
        </is>
      </c>
      <c r="F44" s="38" t="inlineStr">
        <is>
          <t>Recordkeeping and travel rule for transfers of $3,000 or more</t>
        </is>
      </c>
      <c r="G44" s="38" t="inlineStr">
        <is>
          <t>P10, P11</t>
        </is>
      </c>
      <c r="H44" s="40">
        <f>IF(AND(TRUE(),OR(Profile!$C$15="Yes",Profile!$C$16="Yes")),"Yes","No")</f>
        <v/>
      </c>
      <c r="I44" s="41" t="n"/>
      <c r="J44" s="42" t="n"/>
      <c r="K44" s="43">
        <f>IF(I44&lt;&gt;"",I44,H44)</f>
        <v/>
      </c>
      <c r="L44" s="38">
        <f>IF(K44="No","Not applicable",IF(Profile!$C$5="Fintech (sponsor bank program)","Through the Sponsor Bank; own if an MSB","Direct"))</f>
        <v/>
      </c>
      <c r="M44" s="40" t="n"/>
      <c r="N44" s="40" t="n"/>
      <c r="O44" s="40" t="n"/>
      <c r="P44" s="40" t="inlineStr">
        <is>
          <t>X</t>
        </is>
      </c>
      <c r="Q44" s="40" t="n"/>
      <c r="R44" s="40" t="n"/>
      <c r="S44" s="40" t="inlineStr">
        <is>
          <t>X</t>
        </is>
      </c>
      <c r="T44" s="38" t="inlineStr">
        <is>
          <t>BSA-POL-01</t>
        </is>
      </c>
      <c r="U44" s="38" t="n"/>
      <c r="V44" s="42" t="n"/>
      <c r="W44" s="41" t="n"/>
      <c r="X44" s="44" t="n"/>
      <c r="Y44" s="45">
        <f>IF(OR(C44="",K44&lt;&gt;"Yes"),"",IF(AND(I44&lt;&gt;"",J44=""),"Explain the override",IF(V44="","Assign an owner",IF(W44&lt;&gt;"Yes","No adopted policy",IF(OR(X44="",Profile!$B$30&gt;X44+365),"Review overdue","")))))</f>
        <v/>
      </c>
    </row>
    <row r="45" ht="39.75" customHeight="1" s="30">
      <c r="A45" s="38" t="inlineStr">
        <is>
          <t>R-41</t>
        </is>
      </c>
      <c r="B45" s="38" t="inlineStr">
        <is>
          <t>BSA/AML &amp; sanctions</t>
        </is>
      </c>
      <c r="C45" s="39" t="inlineStr">
        <is>
          <t>Information sharing (314(a) and 314(b))</t>
        </is>
      </c>
      <c r="D45" s="38" t="inlineStr">
        <is>
          <t>31 CFR 1010.520, 1010.540</t>
        </is>
      </c>
      <c r="E45" s="38" t="inlineStr">
        <is>
          <t>FinCEN</t>
        </is>
      </c>
      <c r="F45" s="38" t="inlineStr">
        <is>
          <t>Respond to FinCEN 314(a) requests; voluntary sharing</t>
        </is>
      </c>
      <c r="G45" s="38" t="inlineStr">
        <is>
          <t>All</t>
        </is>
      </c>
      <c r="H45" s="40">
        <f>IF(AND(Profile!$C$5&lt;&gt;"Fintech (sponsor bank program)",TRUE()),"Yes","No")</f>
        <v/>
      </c>
      <c r="I45" s="41" t="n"/>
      <c r="J45" s="42" t="n"/>
      <c r="K45" s="43">
        <f>IF(I45&lt;&gt;"",I45,H45)</f>
        <v/>
      </c>
      <c r="L45" s="38">
        <f>IF(K45="No","Not applicable",IF(Profile!$C$5="Fintech (sponsor bank program)","—","Direct"))</f>
        <v/>
      </c>
      <c r="M45" s="40" t="n"/>
      <c r="N45" s="40" t="n"/>
      <c r="O45" s="40" t="n"/>
      <c r="P45" s="40" t="n"/>
      <c r="Q45" s="40" t="n"/>
      <c r="R45" s="40" t="n"/>
      <c r="S45" s="40" t="inlineStr">
        <is>
          <t>X</t>
        </is>
      </c>
      <c r="T45" s="38" t="inlineStr">
        <is>
          <t>BSA-PRO-04</t>
        </is>
      </c>
      <c r="U45" s="38" t="n"/>
      <c r="V45" s="42" t="n"/>
      <c r="W45" s="41" t="n"/>
      <c r="X45" s="44" t="n"/>
      <c r="Y45" s="45">
        <f>IF(OR(C45="",K45&lt;&gt;"Yes"),"",IF(AND(I45&lt;&gt;"",J45=""),"Explain the override",IF(V45="","Assign an owner",IF(W45&lt;&gt;"Yes","No adopted policy",IF(OR(X45="",Profile!$B$30&gt;X45+365),"Review overdue","")))))</f>
        <v/>
      </c>
    </row>
    <row r="46" ht="39.75" customHeight="1" s="30">
      <c r="A46" s="38" t="inlineStr">
        <is>
          <t>R-42</t>
        </is>
      </c>
      <c r="B46" s="38" t="inlineStr">
        <is>
          <t>BSA/AML &amp; sanctions</t>
        </is>
      </c>
      <c r="C46" s="39" t="inlineStr">
        <is>
          <t>Money services business registration and licensing</t>
        </is>
      </c>
      <c r="D46" s="38" t="inlineStr">
        <is>
          <t>31 CFR 1022.380; state money transmitter laws</t>
        </is>
      </c>
      <c r="E46" s="38" t="inlineStr">
        <is>
          <t>FinCEN / states</t>
        </is>
      </c>
      <c r="F46" s="38" t="inlineStr">
        <is>
          <t>FinCEN registration and state licenses</t>
        </is>
      </c>
      <c r="G46" s="38" t="inlineStr">
        <is>
          <t>F7</t>
        </is>
      </c>
      <c r="H46" s="40">
        <f>IF(AND(Profile!$C$5="Fintech (sponsor bank program)",Profile!$C$23="Yes"),"Yes","No")</f>
        <v/>
      </c>
      <c r="I46" s="41" t="n"/>
      <c r="J46" s="42" t="n"/>
      <c r="K46" s="43">
        <f>IF(I46&lt;&gt;"",I46,H46)</f>
        <v/>
      </c>
      <c r="L46" s="38">
        <f>IF(K46="No","Not applicable",IF(Profile!$C$5="Fintech (sponsor bank program)","Direct if an MSB","—"))</f>
        <v/>
      </c>
      <c r="M46" s="40" t="n"/>
      <c r="N46" s="40" t="inlineStr">
        <is>
          <t>X</t>
        </is>
      </c>
      <c r="O46" s="40" t="n"/>
      <c r="P46" s="40" t="n"/>
      <c r="Q46" s="40" t="n"/>
      <c r="R46" s="40" t="n"/>
      <c r="S46" s="40" t="n"/>
      <c r="T46" s="38" t="inlineStr">
        <is>
          <t>BSA-POL-01; LEN-POL-07</t>
        </is>
      </c>
      <c r="U46" s="38" t="n"/>
      <c r="V46" s="42" t="n"/>
      <c r="W46" s="41" t="n"/>
      <c r="X46" s="44" t="n"/>
      <c r="Y46" s="45">
        <f>IF(OR(C46="",K46&lt;&gt;"Yes"),"",IF(AND(I46&lt;&gt;"",J46=""),"Explain the override",IF(V46="","Assign an owner",IF(W46&lt;&gt;"Yes","No adopted policy",IF(OR(X46="",Profile!$B$30&gt;X46+365),"Review overdue","")))))</f>
        <v/>
      </c>
    </row>
    <row r="47" ht="39.75" customHeight="1" s="30">
      <c r="A47" s="38" t="inlineStr">
        <is>
          <t>R-43</t>
        </is>
      </c>
      <c r="B47" s="38" t="inlineStr">
        <is>
          <t>BSA/AML &amp; sanctions</t>
        </is>
      </c>
      <c r="C47" s="39" t="inlineStr">
        <is>
          <t>OFAC sanctions</t>
        </is>
      </c>
      <c r="D47" s="38" t="inlineStr">
        <is>
          <t>31 CFR Chapter V</t>
        </is>
      </c>
      <c r="E47" s="38" t="inlineStr">
        <is>
          <t>OFAC</t>
        </is>
      </c>
      <c r="F47" s="38" t="inlineStr">
        <is>
          <t>Screening, blocking and rejecting, reporting, and 10-year records</t>
        </is>
      </c>
      <c r="G47" s="38" t="inlineStr">
        <is>
          <t>All</t>
        </is>
      </c>
      <c r="H47" s="40">
        <f>IF(AND(TRUE(),TRUE()),"Yes","No")</f>
        <v/>
      </c>
      <c r="I47" s="41" t="n"/>
      <c r="J47" s="42" t="n"/>
      <c r="K47" s="43">
        <f>IF(I47&lt;&gt;"",I47,H47)</f>
        <v/>
      </c>
      <c r="L47" s="38">
        <f>IF(K47="No","Not applicable",IF(Profile!$C$5="Fintech (sponsor bank program)","Direct as a U.S. person","Direct"))</f>
        <v/>
      </c>
      <c r="M47" s="40" t="n"/>
      <c r="N47" s="40" t="inlineStr">
        <is>
          <t>X</t>
        </is>
      </c>
      <c r="O47" s="40" t="n"/>
      <c r="P47" s="40" t="inlineStr">
        <is>
          <t>X</t>
        </is>
      </c>
      <c r="Q47" s="40" t="n"/>
      <c r="R47" s="40" t="n"/>
      <c r="S47" s="40" t="inlineStr">
        <is>
          <t>X</t>
        </is>
      </c>
      <c r="T47" s="38" t="inlineStr">
        <is>
          <t>BSA-PRO-03</t>
        </is>
      </c>
      <c r="U47" s="46" t="inlineStr">
        <is>
          <t>Recordkeeping 10 years since March 2025</t>
        </is>
      </c>
      <c r="V47" s="42" t="n"/>
      <c r="W47" s="41" t="n"/>
      <c r="X47" s="44" t="n"/>
      <c r="Y47" s="45">
        <f>IF(OR(C47="",K47&lt;&gt;"Yes"),"",IF(AND(I47&lt;&gt;"",J47=""),"Explain the override",IF(V47="","Assign an owner",IF(W47&lt;&gt;"Yes","No adopted policy",IF(OR(X47="",Profile!$B$30&gt;X47+365),"Review overdue","")))))</f>
        <v/>
      </c>
    </row>
    <row r="48" ht="39.75" customHeight="1" s="30">
      <c r="A48" s="38" t="inlineStr">
        <is>
          <t>R-44</t>
        </is>
      </c>
      <c r="B48" s="38" t="inlineStr">
        <is>
          <t>Governance &amp; oversight</t>
        </is>
      </c>
      <c r="C48" s="39" t="inlineStr">
        <is>
          <t>Third-party risk management</t>
        </is>
      </c>
      <c r="D48" s="38" t="inlineStr">
        <is>
          <t>Interagency TPRM Guidance (2023); 12 U.S.C. 1867(c); CFPB Bulletin 2016-02</t>
        </is>
      </c>
      <c r="E48" s="38" t="inlineStr">
        <is>
          <t>Prudential / CFPB</t>
        </is>
      </c>
      <c r="F48" s="38" t="inlineStr">
        <is>
          <t>Oversight of third parties; regulator notice of service relationships (banks)</t>
        </is>
      </c>
      <c r="G48" s="38" t="inlineStr">
        <is>
          <t>F8</t>
        </is>
      </c>
      <c r="H48" s="40">
        <f>IF(AND(TRUE(),Profile!$C$24="Yes"),"Yes","No")</f>
        <v/>
      </c>
      <c r="I48" s="41" t="n"/>
      <c r="J48" s="42" t="n"/>
      <c r="K48" s="43">
        <f>IF(I48&lt;&gt;"",I48,H48)</f>
        <v/>
      </c>
      <c r="L48" s="38">
        <f>IF(K48="No","Not applicable",IF(Profile!$C$5="Fintech (sponsor bank program)","Oversees own vendors; is itself the Sponsor Bank’s third party","Direct"))</f>
        <v/>
      </c>
      <c r="M48" s="40" t="n"/>
      <c r="N48" s="40" t="inlineStr">
        <is>
          <t>X</t>
        </is>
      </c>
      <c r="O48" s="40" t="n"/>
      <c r="P48" s="40" t="inlineStr">
        <is>
          <t>X</t>
        </is>
      </c>
      <c r="Q48" s="40" t="n"/>
      <c r="R48" s="40" t="n"/>
      <c r="S48" s="40" t="inlineStr">
        <is>
          <t>X</t>
        </is>
      </c>
      <c r="T48" s="38" t="inlineStr">
        <is>
          <t>OPR-POL-01</t>
        </is>
      </c>
      <c r="U48" s="46" t="inlineStr">
        <is>
          <t>Replacement guidance proposed September 2026</t>
        </is>
      </c>
      <c r="V48" s="42" t="n"/>
      <c r="W48" s="41" t="n"/>
      <c r="X48" s="44" t="n"/>
      <c r="Y48" s="45">
        <f>IF(OR(C48="",K48&lt;&gt;"Yes"),"",IF(AND(I48&lt;&gt;"",J48=""),"Explain the override",IF(V48="","Assign an owner",IF(W48&lt;&gt;"Yes","No adopted policy",IF(OR(X48="",Profile!$B$30&gt;X48+365),"Review overdue","")))))</f>
        <v/>
      </c>
    </row>
    <row r="49" ht="39.75" customHeight="1" s="30">
      <c r="A49" s="38" t="inlineStr">
        <is>
          <t>R-45</t>
        </is>
      </c>
      <c r="B49" s="38" t="inlineStr">
        <is>
          <t>Governance &amp; oversight</t>
        </is>
      </c>
      <c r="C49" s="39" t="inlineStr">
        <is>
          <t>Bank-fintech deposit arrangements</t>
        </is>
      </c>
      <c r="D49" s="38" t="inlineStr">
        <is>
          <t>Joint Statement (July 25, 2024); OCC Bulletin 2024-20; SR 24-5</t>
        </is>
      </c>
      <c r="E49" s="38" t="inlineStr">
        <is>
          <t>Prudential</t>
        </is>
      </c>
      <c r="F49" s="38" t="inlineStr">
        <is>
          <t>Oversight of partner-delivered deposit products</t>
        </is>
      </c>
      <c r="G49" s="38" t="inlineStr">
        <is>
          <t>F9</t>
        </is>
      </c>
      <c r="H49" s="40">
        <f>IF(AND(Profile!$C$5&lt;&gt;"Fintech (sponsor bank program)",Profile!$C$25="Yes"),"Yes","No")</f>
        <v/>
      </c>
      <c r="I49" s="41" t="n"/>
      <c r="J49" s="42" t="n"/>
      <c r="K49" s="43">
        <f>IF(I49&lt;&gt;"",I49,H49)</f>
        <v/>
      </c>
      <c r="L49" s="38">
        <f>IF(K49="No","Not applicable",IF(Profile!$C$5="Fintech (sponsor bank program)","—","Direct"))</f>
        <v/>
      </c>
      <c r="M49" s="40" t="n"/>
      <c r="N49" s="40" t="inlineStr">
        <is>
          <t>X</t>
        </is>
      </c>
      <c r="O49" s="40" t="n"/>
      <c r="P49" s="40" t="inlineStr">
        <is>
          <t>X</t>
        </is>
      </c>
      <c r="Q49" s="40" t="n"/>
      <c r="R49" s="40" t="n"/>
      <c r="S49" s="40" t="inlineStr">
        <is>
          <t>X</t>
        </is>
      </c>
      <c r="T49" s="38" t="inlineStr">
        <is>
          <t>OPR-POL-08</t>
        </is>
      </c>
      <c r="U49" s="46" t="inlineStr">
        <is>
          <t>Would be replaced by the proposed TPRM guidance</t>
        </is>
      </c>
      <c r="V49" s="42" t="n"/>
      <c r="W49" s="41" t="n"/>
      <c r="X49" s="44" t="n"/>
      <c r="Y49" s="45">
        <f>IF(OR(C49="",K49&lt;&gt;"Yes"),"",IF(AND(I49&lt;&gt;"",J49=""),"Explain the override",IF(V49="","Assign an owner",IF(W49&lt;&gt;"Yes","No adopted policy",IF(OR(X49="",Profile!$B$30&gt;X49+365),"Review overdue","")))))</f>
        <v/>
      </c>
    </row>
    <row r="50" ht="39.75" customHeight="1" s="30">
      <c r="A50" s="38" t="inlineStr">
        <is>
          <t>R-46</t>
        </is>
      </c>
      <c r="B50" s="38" t="inlineStr">
        <is>
          <t>Governance &amp; oversight</t>
        </is>
      </c>
      <c r="C50" s="39" t="inlineStr">
        <is>
          <t>Community Reinvestment Act</t>
        </is>
      </c>
      <c r="D50" s="38" t="inlineStr">
        <is>
          <t>12 CFR 25 (OCC), 345 (FDIC), 228 (Federal Reserve)</t>
        </is>
      </c>
      <c r="E50" s="38" t="inlineStr">
        <is>
          <t>Prudential</t>
        </is>
      </c>
      <c r="F50" s="38" t="inlineStr">
        <is>
          <t>Meeting community credit needs; performance evaluation</t>
        </is>
      </c>
      <c r="G50" s="38" t="inlineStr">
        <is>
          <t>All</t>
        </is>
      </c>
      <c r="H50" s="40">
        <f>IF(AND(Profile!$C$5&lt;&gt;"Fintech (sponsor bank program)",TRUE()),"Yes","No")</f>
        <v/>
      </c>
      <c r="I50" s="41" t="n"/>
      <c r="J50" s="42" t="n"/>
      <c r="K50" s="43">
        <f>IF(I50&lt;&gt;"",I50,H50)</f>
        <v/>
      </c>
      <c r="L50" s="38">
        <f>IF(K50="No","Not applicable",IF(Profile!$C$5="Fintech (sponsor bank program)","—","Direct (insured banks)"))</f>
        <v/>
      </c>
      <c r="M50" s="40" t="n"/>
      <c r="N50" s="40" t="n"/>
      <c r="O50" s="40" t="n"/>
      <c r="P50" s="40" t="n"/>
      <c r="Q50" s="40" t="n"/>
      <c r="R50" s="40" t="n"/>
      <c r="S50" s="40" t="inlineStr">
        <is>
          <t>X</t>
        </is>
      </c>
      <c r="T50" s="38" t="inlineStr">
        <is>
          <t>LEN-POL-09</t>
        </is>
      </c>
      <c r="U50" s="46" t="inlineStr">
        <is>
          <t>Credit unions are not subject to CRA</t>
        </is>
      </c>
      <c r="V50" s="42" t="n"/>
      <c r="W50" s="41" t="n"/>
      <c r="X50" s="44" t="n"/>
      <c r="Y50" s="45">
        <f>IF(OR(C50="",K50&lt;&gt;"Yes"),"",IF(AND(I50&lt;&gt;"",J50=""),"Explain the override",IF(V50="","Assign an owner",IF(W50&lt;&gt;"Yes","No adopted policy",IF(OR(X50="",Profile!$B$30&gt;X50+365),"Review overdue","")))))</f>
        <v/>
      </c>
    </row>
    <row r="51" ht="39.75" customHeight="1" s="30">
      <c r="A51" s="38" t="inlineStr">
        <is>
          <t>R-47</t>
        </is>
      </c>
      <c r="B51" s="38" t="inlineStr">
        <is>
          <t>Governance &amp; oversight</t>
        </is>
      </c>
      <c r="C51" s="39" t="inlineStr">
        <is>
          <t>Insider lending (Regulation O)</t>
        </is>
      </c>
      <c r="D51" s="38" t="inlineStr">
        <is>
          <t>12 CFR 215</t>
        </is>
      </c>
      <c r="E51" s="38" t="inlineStr">
        <is>
          <t>Federal Reserve</t>
        </is>
      </c>
      <c r="F51" s="38" t="inlineStr">
        <is>
          <t>Credit to executive officers, directors, and principal shareholders</t>
        </is>
      </c>
      <c r="G51" s="38" t="inlineStr">
        <is>
          <t>All</t>
        </is>
      </c>
      <c r="H51" s="40">
        <f>IF(AND(Profile!$C$5&lt;&gt;"Fintech (sponsor bank program)",TRUE()),"Yes","No")</f>
        <v/>
      </c>
      <c r="I51" s="41" t="n"/>
      <c r="J51" s="42" t="n"/>
      <c r="K51" s="43">
        <f>IF(I51&lt;&gt;"",I51,H51)</f>
        <v/>
      </c>
      <c r="L51" s="38">
        <f>IF(K51="No","Not applicable",IF(Profile!$C$5="Fintech (sponsor bank program)","—","Direct"))</f>
        <v/>
      </c>
      <c r="M51" s="40" t="n"/>
      <c r="N51" s="40" t="inlineStr">
        <is>
          <t>X</t>
        </is>
      </c>
      <c r="O51" s="40" t="n"/>
      <c r="P51" s="40" t="n"/>
      <c r="Q51" s="40" t="n"/>
      <c r="R51" s="40" t="n"/>
      <c r="S51" s="40" t="inlineStr">
        <is>
          <t>X</t>
        </is>
      </c>
      <c r="T51" s="38" t="inlineStr">
        <is>
          <t>LEN-POL-08</t>
        </is>
      </c>
      <c r="U51" s="46" t="inlineStr">
        <is>
          <t>Credit unions: NCUA 12 CFR 701.21(d)</t>
        </is>
      </c>
      <c r="V51" s="42" t="n"/>
      <c r="W51" s="41" t="n"/>
      <c r="X51" s="44" t="n"/>
      <c r="Y51" s="45">
        <f>IF(OR(C51="",K51&lt;&gt;"Yes"),"",IF(AND(I51&lt;&gt;"",J51=""),"Explain the override",IF(V51="","Assign an owner",IF(W51&lt;&gt;"Yes","No adopted policy",IF(OR(X51="",Profile!$B$30&gt;X51+365),"Review overdue","")))))</f>
        <v/>
      </c>
    </row>
    <row r="52" ht="15" customHeight="1" s="30">
      <c r="A52" s="42" t="n"/>
      <c r="B52" s="42" t="n"/>
      <c r="C52" s="42" t="n"/>
      <c r="D52" s="42" t="n"/>
      <c r="E52" s="42" t="n"/>
      <c r="F52" s="42" t="n"/>
      <c r="G52" s="42" t="n"/>
      <c r="H52" s="38" t="n"/>
      <c r="I52" s="42" t="n"/>
      <c r="J52" s="42" t="n"/>
      <c r="K52" s="43">
        <f>IF(I52&lt;&gt;"",I52,IF(C52="","",H52))</f>
        <v/>
      </c>
      <c r="L52" s="42" t="n"/>
      <c r="M52" s="42" t="n"/>
      <c r="N52" s="42" t="n"/>
      <c r="O52" s="42" t="n"/>
      <c r="P52" s="42" t="n"/>
      <c r="Q52" s="42" t="n"/>
      <c r="R52" s="42" t="n"/>
      <c r="S52" s="42" t="n"/>
      <c r="T52" s="42" t="n"/>
      <c r="U52" s="42" t="n"/>
      <c r="V52" s="42" t="n"/>
      <c r="W52" s="42" t="n"/>
      <c r="X52" s="42" t="n"/>
      <c r="Y52" s="42">
        <f>IF(OR(C52="",K52&lt;&gt;"Yes"),"",IF(AND(I52&lt;&gt;"",J52=""),"Explain the override",IF(V52="","Assign an owner",IF(W52&lt;&gt;"Yes","No adopted policy",IF(OR(X52="",Profile!$B$30&gt;X52+365),"Review overdue","")))))</f>
        <v/>
      </c>
    </row>
    <row r="53" ht="15" customHeight="1" s="30">
      <c r="A53" s="42" t="n"/>
      <c r="B53" s="42" t="n"/>
      <c r="C53" s="42" t="n"/>
      <c r="D53" s="42" t="n"/>
      <c r="E53" s="42" t="n"/>
      <c r="F53" s="42" t="n"/>
      <c r="G53" s="42" t="n"/>
      <c r="H53" s="38" t="n"/>
      <c r="I53" s="42" t="n"/>
      <c r="J53" s="42" t="n"/>
      <c r="K53" s="43">
        <f>IF(I53&lt;&gt;"",I53,IF(C53="","",H53))</f>
        <v/>
      </c>
      <c r="L53" s="42" t="n"/>
      <c r="M53" s="42" t="n"/>
      <c r="N53" s="42" t="n"/>
      <c r="O53" s="42" t="n"/>
      <c r="P53" s="42" t="n"/>
      <c r="Q53" s="42" t="n"/>
      <c r="R53" s="42" t="n"/>
      <c r="S53" s="42" t="n"/>
      <c r="T53" s="42" t="n"/>
      <c r="U53" s="42" t="n"/>
      <c r="V53" s="42" t="n"/>
      <c r="W53" s="42" t="n"/>
      <c r="X53" s="42" t="n"/>
      <c r="Y53" s="42">
        <f>IF(OR(C53="",K53&lt;&gt;"Yes"),"",IF(AND(I53&lt;&gt;"",J53=""),"Explain the override",IF(V53="","Assign an owner",IF(W53&lt;&gt;"Yes","No adopted policy",IF(OR(X53="",Profile!$B$30&gt;X53+365),"Review overdue","")))))</f>
        <v/>
      </c>
    </row>
    <row r="54" ht="15" customHeight="1" s="30">
      <c r="A54" s="42" t="n"/>
      <c r="B54" s="42" t="n"/>
      <c r="C54" s="42" t="n"/>
      <c r="D54" s="42" t="n"/>
      <c r="E54" s="42" t="n"/>
      <c r="F54" s="42" t="n"/>
      <c r="G54" s="42" t="n"/>
      <c r="H54" s="38" t="n"/>
      <c r="I54" s="42" t="n"/>
      <c r="J54" s="42" t="n"/>
      <c r="K54" s="43">
        <f>IF(I54&lt;&gt;"",I54,IF(C54="","",H54))</f>
        <v/>
      </c>
      <c r="L54" s="42" t="n"/>
      <c r="M54" s="42" t="n"/>
      <c r="N54" s="42" t="n"/>
      <c r="O54" s="42" t="n"/>
      <c r="P54" s="42" t="n"/>
      <c r="Q54" s="42" t="n"/>
      <c r="R54" s="42" t="n"/>
      <c r="S54" s="42" t="n"/>
      <c r="T54" s="42" t="n"/>
      <c r="U54" s="42" t="n"/>
      <c r="V54" s="42" t="n"/>
      <c r="W54" s="42" t="n"/>
      <c r="X54" s="42" t="n"/>
      <c r="Y54" s="42">
        <f>IF(OR(C54="",K54&lt;&gt;"Yes"),"",IF(AND(I54&lt;&gt;"",J54=""),"Explain the override",IF(V54="","Assign an owner",IF(W54&lt;&gt;"Yes","No adopted policy",IF(OR(X54="",Profile!$B$30&gt;X54+365),"Review overdue","")))))</f>
        <v/>
      </c>
    </row>
    <row r="55" ht="15" customHeight="1" s="30">
      <c r="A55" s="42" t="n"/>
      <c r="B55" s="42" t="n"/>
      <c r="C55" s="42" t="n"/>
      <c r="D55" s="42" t="n"/>
      <c r="E55" s="42" t="n"/>
      <c r="F55" s="42" t="n"/>
      <c r="G55" s="42" t="n"/>
      <c r="H55" s="38" t="n"/>
      <c r="I55" s="42" t="n"/>
      <c r="J55" s="42" t="n"/>
      <c r="K55" s="43">
        <f>IF(I55&lt;&gt;"",I55,IF(C55="","",H55))</f>
        <v/>
      </c>
      <c r="L55" s="42" t="n"/>
      <c r="M55" s="42" t="n"/>
      <c r="N55" s="42" t="n"/>
      <c r="O55" s="42" t="n"/>
      <c r="P55" s="42" t="n"/>
      <c r="Q55" s="42" t="n"/>
      <c r="R55" s="42" t="n"/>
      <c r="S55" s="42" t="n"/>
      <c r="T55" s="42" t="n"/>
      <c r="U55" s="42" t="n"/>
      <c r="V55" s="42" t="n"/>
      <c r="W55" s="42" t="n"/>
      <c r="X55" s="42" t="n"/>
      <c r="Y55" s="42">
        <f>IF(OR(C55="",K55&lt;&gt;"Yes"),"",IF(AND(I55&lt;&gt;"",J55=""),"Explain the override",IF(V55="","Assign an owner",IF(W55&lt;&gt;"Yes","No adopted policy",IF(OR(X55="",Profile!$B$30&gt;X55+365),"Review overdue","")))))</f>
        <v/>
      </c>
    </row>
    <row r="56" ht="15" customHeight="1" s="30">
      <c r="A56" s="42" t="n"/>
      <c r="B56" s="42" t="n"/>
      <c r="C56" s="42" t="n"/>
      <c r="D56" s="42" t="n"/>
      <c r="E56" s="42" t="n"/>
      <c r="F56" s="42" t="n"/>
      <c r="G56" s="42" t="n"/>
      <c r="H56" s="38" t="n"/>
      <c r="I56" s="42" t="n"/>
      <c r="J56" s="42" t="n"/>
      <c r="K56" s="43">
        <f>IF(I56&lt;&gt;"",I56,IF(C56="","",H56))</f>
        <v/>
      </c>
      <c r="L56" s="42" t="n"/>
      <c r="M56" s="42" t="n"/>
      <c r="N56" s="42" t="n"/>
      <c r="O56" s="42" t="n"/>
      <c r="P56" s="42" t="n"/>
      <c r="Q56" s="42" t="n"/>
      <c r="R56" s="42" t="n"/>
      <c r="S56" s="42" t="n"/>
      <c r="T56" s="42" t="n"/>
      <c r="U56" s="42" t="n"/>
      <c r="V56" s="42" t="n"/>
      <c r="W56" s="42" t="n"/>
      <c r="X56" s="42" t="n"/>
      <c r="Y56" s="42">
        <f>IF(OR(C56="",K56&lt;&gt;"Yes"),"",IF(AND(I56&lt;&gt;"",J56=""),"Explain the override",IF(V56="","Assign an owner",IF(W56&lt;&gt;"Yes","No adopted policy",IF(OR(X56="",Profile!$B$30&gt;X56+365),"Review overdue","")))))</f>
        <v/>
      </c>
    </row>
    <row r="57" ht="15" customHeight="1" s="30">
      <c r="A57" s="42" t="n"/>
      <c r="B57" s="42" t="n"/>
      <c r="C57" s="42" t="n"/>
      <c r="D57" s="42" t="n"/>
      <c r="E57" s="42" t="n"/>
      <c r="F57" s="42" t="n"/>
      <c r="G57" s="42" t="n"/>
      <c r="H57" s="38" t="n"/>
      <c r="I57" s="42" t="n"/>
      <c r="J57" s="42" t="n"/>
      <c r="K57" s="43">
        <f>IF(I57&lt;&gt;"",I57,IF(C57="","",H57))</f>
        <v/>
      </c>
      <c r="L57" s="42" t="n"/>
      <c r="M57" s="42" t="n"/>
      <c r="N57" s="42" t="n"/>
      <c r="O57" s="42" t="n"/>
      <c r="P57" s="42" t="n"/>
      <c r="Q57" s="42" t="n"/>
      <c r="R57" s="42" t="n"/>
      <c r="S57" s="42" t="n"/>
      <c r="T57" s="42" t="n"/>
      <c r="U57" s="42" t="n"/>
      <c r="V57" s="42" t="n"/>
      <c r="W57" s="42" t="n"/>
      <c r="X57" s="42" t="n"/>
      <c r="Y57" s="42">
        <f>IF(OR(C57="",K57&lt;&gt;"Yes"),"",IF(AND(I57&lt;&gt;"",J57=""),"Explain the override",IF(V57="","Assign an owner",IF(W57&lt;&gt;"Yes","No adopted policy",IF(OR(X57="",Profile!$B$30&gt;X57+365),"Review overdue","")))))</f>
        <v/>
      </c>
    </row>
    <row r="58" ht="15" customHeight="1" s="30">
      <c r="A58" s="42" t="n"/>
      <c r="B58" s="42" t="n"/>
      <c r="C58" s="42" t="n"/>
      <c r="D58" s="42" t="n"/>
      <c r="E58" s="42" t="n"/>
      <c r="F58" s="42" t="n"/>
      <c r="G58" s="42" t="n"/>
      <c r="H58" s="38" t="n"/>
      <c r="I58" s="42" t="n"/>
      <c r="J58" s="42" t="n"/>
      <c r="K58" s="43">
        <f>IF(I58&lt;&gt;"",I58,IF(C58="","",H58))</f>
        <v/>
      </c>
      <c r="L58" s="42" t="n"/>
      <c r="M58" s="42" t="n"/>
      <c r="N58" s="42" t="n"/>
      <c r="O58" s="42" t="n"/>
      <c r="P58" s="42" t="n"/>
      <c r="Q58" s="42" t="n"/>
      <c r="R58" s="42" t="n"/>
      <c r="S58" s="42" t="n"/>
      <c r="T58" s="42" t="n"/>
      <c r="U58" s="42" t="n"/>
      <c r="V58" s="42" t="n"/>
      <c r="W58" s="42" t="n"/>
      <c r="X58" s="42" t="n"/>
      <c r="Y58" s="42">
        <f>IF(OR(C58="",K58&lt;&gt;"Yes"),"",IF(AND(I58&lt;&gt;"",J58=""),"Explain the override",IF(V58="","Assign an owner",IF(W58&lt;&gt;"Yes","No adopted policy",IF(OR(X58="",Profile!$B$30&gt;X58+365),"Review overdue","")))))</f>
        <v/>
      </c>
    </row>
    <row r="59" ht="15" customHeight="1" s="30">
      <c r="A59" s="42" t="n"/>
      <c r="B59" s="42" t="n"/>
      <c r="C59" s="42" t="n"/>
      <c r="D59" s="42" t="n"/>
      <c r="E59" s="42" t="n"/>
      <c r="F59" s="42" t="n"/>
      <c r="G59" s="42" t="n"/>
      <c r="H59" s="38" t="n"/>
      <c r="I59" s="42" t="n"/>
      <c r="J59" s="42" t="n"/>
      <c r="K59" s="43">
        <f>IF(I59&lt;&gt;"",I59,IF(C59="","",H59))</f>
        <v/>
      </c>
      <c r="L59" s="42" t="n"/>
      <c r="M59" s="42" t="n"/>
      <c r="N59" s="42" t="n"/>
      <c r="O59" s="42" t="n"/>
      <c r="P59" s="42" t="n"/>
      <c r="Q59" s="42" t="n"/>
      <c r="R59" s="42" t="n"/>
      <c r="S59" s="42" t="n"/>
      <c r="T59" s="42" t="n"/>
      <c r="U59" s="42" t="n"/>
      <c r="V59" s="42" t="n"/>
      <c r="W59" s="42" t="n"/>
      <c r="X59" s="42" t="n"/>
      <c r="Y59" s="42">
        <f>IF(OR(C59="",K59&lt;&gt;"Yes"),"",IF(AND(I59&lt;&gt;"",J59=""),"Explain the override",IF(V59="","Assign an owner",IF(W59&lt;&gt;"Yes","No adopted policy",IF(OR(X59="",Profile!$B$30&gt;X59+365),"Review overdue","")))))</f>
        <v/>
      </c>
    </row>
    <row r="60" ht="15" customHeight="1" s="30">
      <c r="A60" s="42" t="n"/>
      <c r="B60" s="42" t="n"/>
      <c r="C60" s="42" t="n"/>
      <c r="D60" s="42" t="n"/>
      <c r="E60" s="42" t="n"/>
      <c r="F60" s="42" t="n"/>
      <c r="G60" s="42" t="n"/>
      <c r="H60" s="38" t="n"/>
      <c r="I60" s="42" t="n"/>
      <c r="J60" s="42" t="n"/>
      <c r="K60" s="43">
        <f>IF(I60&lt;&gt;"",I60,IF(C60="","",H60))</f>
        <v/>
      </c>
      <c r="L60" s="42" t="n"/>
      <c r="M60" s="42" t="n"/>
      <c r="N60" s="42" t="n"/>
      <c r="O60" s="42" t="n"/>
      <c r="P60" s="42" t="n"/>
      <c r="Q60" s="42" t="n"/>
      <c r="R60" s="42" t="n"/>
      <c r="S60" s="42" t="n"/>
      <c r="T60" s="42" t="n"/>
      <c r="U60" s="42" t="n"/>
      <c r="V60" s="42" t="n"/>
      <c r="W60" s="42" t="n"/>
      <c r="X60" s="42" t="n"/>
      <c r="Y60" s="42">
        <f>IF(OR(C60="",K60&lt;&gt;"Yes"),"",IF(AND(I60&lt;&gt;"",J60=""),"Explain the override",IF(V60="","Assign an owner",IF(W60&lt;&gt;"Yes","No adopted policy",IF(OR(X60="",Profile!$B$30&gt;X60+365),"Review overdue","")))))</f>
        <v/>
      </c>
    </row>
    <row r="61" ht="15" customHeight="1" s="30">
      <c r="A61" s="42" t="n"/>
      <c r="B61" s="42" t="n"/>
      <c r="C61" s="42" t="n"/>
      <c r="D61" s="42" t="n"/>
      <c r="E61" s="42" t="n"/>
      <c r="F61" s="42" t="n"/>
      <c r="G61" s="42" t="n"/>
      <c r="H61" s="38" t="n"/>
      <c r="I61" s="42" t="n"/>
      <c r="J61" s="42" t="n"/>
      <c r="K61" s="43">
        <f>IF(I61&lt;&gt;"",I61,IF(C61="","",H61))</f>
        <v/>
      </c>
      <c r="L61" s="42" t="n"/>
      <c r="M61" s="42" t="n"/>
      <c r="N61" s="42" t="n"/>
      <c r="O61" s="42" t="n"/>
      <c r="P61" s="42" t="n"/>
      <c r="Q61" s="42" t="n"/>
      <c r="R61" s="42" t="n"/>
      <c r="S61" s="42" t="n"/>
      <c r="T61" s="42" t="n"/>
      <c r="U61" s="42" t="n"/>
      <c r="V61" s="42" t="n"/>
      <c r="W61" s="42" t="n"/>
      <c r="X61" s="42" t="n"/>
      <c r="Y61" s="42">
        <f>IF(OR(C61="",K61&lt;&gt;"Yes"),"",IF(AND(I61&lt;&gt;"",J61=""),"Explain the override",IF(V61="","Assign an owner",IF(W61&lt;&gt;"Yes","No adopted policy",IF(OR(X61="",Profile!$B$30&gt;X61+365),"Review overdue","")))))</f>
        <v/>
      </c>
    </row>
    <row r="62" ht="15" customHeight="1" s="30">
      <c r="A62" s="42" t="n"/>
      <c r="B62" s="42" t="n"/>
      <c r="C62" s="42" t="n"/>
      <c r="D62" s="42" t="n"/>
      <c r="E62" s="42" t="n"/>
      <c r="F62" s="42" t="n"/>
      <c r="G62" s="42" t="n"/>
      <c r="H62" s="38" t="n"/>
      <c r="I62" s="42" t="n"/>
      <c r="J62" s="42" t="n"/>
      <c r="K62" s="43">
        <f>IF(I62&lt;&gt;"",I62,IF(C62="","",H62))</f>
        <v/>
      </c>
      <c r="L62" s="42" t="n"/>
      <c r="M62" s="42" t="n"/>
      <c r="N62" s="42" t="n"/>
      <c r="O62" s="42" t="n"/>
      <c r="P62" s="42" t="n"/>
      <c r="Q62" s="42" t="n"/>
      <c r="R62" s="42" t="n"/>
      <c r="S62" s="42" t="n"/>
      <c r="T62" s="42" t="n"/>
      <c r="U62" s="42" t="n"/>
      <c r="V62" s="42" t="n"/>
      <c r="W62" s="42" t="n"/>
      <c r="X62" s="42" t="n"/>
      <c r="Y62" s="42">
        <f>IF(OR(C62="",K62&lt;&gt;"Yes"),"",IF(AND(I62&lt;&gt;"",J62=""),"Explain the override",IF(V62="","Assign an owner",IF(W62&lt;&gt;"Yes","No adopted policy",IF(OR(X62="",Profile!$B$30&gt;X62+365),"Review overdue","")))))</f>
        <v/>
      </c>
    </row>
    <row r="63" ht="15" customHeight="1" s="30">
      <c r="A63" s="42" t="n"/>
      <c r="B63" s="42" t="n"/>
      <c r="C63" s="42" t="n"/>
      <c r="D63" s="42" t="n"/>
      <c r="E63" s="42" t="n"/>
      <c r="F63" s="42" t="n"/>
      <c r="G63" s="42" t="n"/>
      <c r="H63" s="38" t="n"/>
      <c r="I63" s="42" t="n"/>
      <c r="J63" s="42" t="n"/>
      <c r="K63" s="43">
        <f>IF(I63&lt;&gt;"",I63,IF(C63="","",H63))</f>
        <v/>
      </c>
      <c r="L63" s="42" t="n"/>
      <c r="M63" s="42" t="n"/>
      <c r="N63" s="42" t="n"/>
      <c r="O63" s="42" t="n"/>
      <c r="P63" s="42" t="n"/>
      <c r="Q63" s="42" t="n"/>
      <c r="R63" s="42" t="n"/>
      <c r="S63" s="42" t="n"/>
      <c r="T63" s="42" t="n"/>
      <c r="U63" s="42" t="n"/>
      <c r="V63" s="42" t="n"/>
      <c r="W63" s="42" t="n"/>
      <c r="X63" s="42" t="n"/>
      <c r="Y63" s="42">
        <f>IF(OR(C63="",K63&lt;&gt;"Yes"),"",IF(AND(I63&lt;&gt;"",J63=""),"Explain the override",IF(V63="","Assign an owner",IF(W63&lt;&gt;"Yes","No adopted policy",IF(OR(X63="",Profile!$B$30&gt;X63+365),"Review overdue","")))))</f>
        <v/>
      </c>
    </row>
    <row r="64" ht="15" customHeight="1" s="30">
      <c r="A64" s="42" t="n"/>
      <c r="B64" s="42" t="n"/>
      <c r="C64" s="42" t="n"/>
      <c r="D64" s="42" t="n"/>
      <c r="E64" s="42" t="n"/>
      <c r="F64" s="42" t="n"/>
      <c r="G64" s="42" t="n"/>
      <c r="H64" s="38" t="n"/>
      <c r="I64" s="42" t="n"/>
      <c r="J64" s="42" t="n"/>
      <c r="K64" s="43">
        <f>IF(I64&lt;&gt;"",I64,IF(C64="","",H64))</f>
        <v/>
      </c>
      <c r="L64" s="42" t="n"/>
      <c r="M64" s="42" t="n"/>
      <c r="N64" s="42" t="n"/>
      <c r="O64" s="42" t="n"/>
      <c r="P64" s="42" t="n"/>
      <c r="Q64" s="42" t="n"/>
      <c r="R64" s="42" t="n"/>
      <c r="S64" s="42" t="n"/>
      <c r="T64" s="42" t="n"/>
      <c r="U64" s="42" t="n"/>
      <c r="V64" s="42" t="n"/>
      <c r="W64" s="42" t="n"/>
      <c r="X64" s="42" t="n"/>
      <c r="Y64" s="42">
        <f>IF(OR(C64="",K64&lt;&gt;"Yes"),"",IF(AND(I64&lt;&gt;"",J64=""),"Explain the override",IF(V64="","Assign an owner",IF(W64&lt;&gt;"Yes","No adopted policy",IF(OR(X64="",Profile!$B$30&gt;X64+365),"Review overdue","")))))</f>
        <v/>
      </c>
    </row>
    <row r="65" ht="15" customHeight="1" s="30">
      <c r="A65" s="42" t="n"/>
      <c r="B65" s="42" t="n"/>
      <c r="C65" s="42" t="n"/>
      <c r="D65" s="42" t="n"/>
      <c r="E65" s="42" t="n"/>
      <c r="F65" s="42" t="n"/>
      <c r="G65" s="42" t="n"/>
      <c r="H65" s="38" t="n"/>
      <c r="I65" s="42" t="n"/>
      <c r="J65" s="42" t="n"/>
      <c r="K65" s="43">
        <f>IF(I65&lt;&gt;"",I65,IF(C65="","",H65))</f>
        <v/>
      </c>
      <c r="L65" s="42" t="n"/>
      <c r="M65" s="42" t="n"/>
      <c r="N65" s="42" t="n"/>
      <c r="O65" s="42" t="n"/>
      <c r="P65" s="42" t="n"/>
      <c r="Q65" s="42" t="n"/>
      <c r="R65" s="42" t="n"/>
      <c r="S65" s="42" t="n"/>
      <c r="T65" s="42" t="n"/>
      <c r="U65" s="42" t="n"/>
      <c r="V65" s="42" t="n"/>
      <c r="W65" s="42" t="n"/>
      <c r="X65" s="42" t="n"/>
      <c r="Y65" s="42">
        <f>IF(OR(C65="",K65&lt;&gt;"Yes"),"",IF(AND(I65&lt;&gt;"",J65=""),"Explain the override",IF(V65="","Assign an owner",IF(W65&lt;&gt;"Yes","No adopted policy",IF(OR(X65="",Profile!$B$30&gt;X65+365),"Review overdue","")))))</f>
        <v/>
      </c>
    </row>
    <row r="66" ht="15" customHeight="1" s="30">
      <c r="A66" s="42" t="n"/>
      <c r="B66" s="42" t="n"/>
      <c r="C66" s="42" t="n"/>
      <c r="D66" s="42" t="n"/>
      <c r="E66" s="42" t="n"/>
      <c r="F66" s="42" t="n"/>
      <c r="G66" s="42" t="n"/>
      <c r="H66" s="38" t="n"/>
      <c r="I66" s="42" t="n"/>
      <c r="J66" s="42" t="n"/>
      <c r="K66" s="43">
        <f>IF(I66&lt;&gt;"",I66,IF(C66="","",H66))</f>
        <v/>
      </c>
      <c r="L66" s="42" t="n"/>
      <c r="M66" s="42" t="n"/>
      <c r="N66" s="42" t="n"/>
      <c r="O66" s="42" t="n"/>
      <c r="P66" s="42" t="n"/>
      <c r="Q66" s="42" t="n"/>
      <c r="R66" s="42" t="n"/>
      <c r="S66" s="42" t="n"/>
      <c r="T66" s="42" t="n"/>
      <c r="U66" s="42" t="n"/>
      <c r="V66" s="42" t="n"/>
      <c r="W66" s="42" t="n"/>
      <c r="X66" s="42" t="n"/>
      <c r="Y66" s="42">
        <f>IF(OR(C66="",K66&lt;&gt;"Yes"),"",IF(AND(I66&lt;&gt;"",J66=""),"Explain the override",IF(V66="","Assign an owner",IF(W66&lt;&gt;"Yes","No adopted policy",IF(OR(X66="",Profile!$B$30&gt;X66+365),"Review overdue","")))))</f>
        <v/>
      </c>
    </row>
    <row r="67" ht="15" customHeight="1" s="30">
      <c r="A67" s="42" t="n"/>
      <c r="B67" s="42" t="n"/>
      <c r="C67" s="42" t="n"/>
      <c r="D67" s="42" t="n"/>
      <c r="E67" s="42" t="n"/>
      <c r="F67" s="42" t="n"/>
      <c r="G67" s="42" t="n"/>
      <c r="H67" s="38" t="n"/>
      <c r="I67" s="42" t="n"/>
      <c r="J67" s="42" t="n"/>
      <c r="K67" s="43">
        <f>IF(I67&lt;&gt;"",I67,IF(C67="","",H67))</f>
        <v/>
      </c>
      <c r="L67" s="42" t="n"/>
      <c r="M67" s="42" t="n"/>
      <c r="N67" s="42" t="n"/>
      <c r="O67" s="42" t="n"/>
      <c r="P67" s="42" t="n"/>
      <c r="Q67" s="42" t="n"/>
      <c r="R67" s="42" t="n"/>
      <c r="S67" s="42" t="n"/>
      <c r="T67" s="42" t="n"/>
      <c r="U67" s="42" t="n"/>
      <c r="V67" s="42" t="n"/>
      <c r="W67" s="42" t="n"/>
      <c r="X67" s="42" t="n"/>
      <c r="Y67" s="42">
        <f>IF(OR(C67="",K67&lt;&gt;"Yes"),"",IF(AND(I67&lt;&gt;"",J67=""),"Explain the override",IF(V67="","Assign an owner",IF(W67&lt;&gt;"Yes","No adopted policy",IF(OR(X67="",Profile!$B$30&gt;X67+365),"Review overdue","")))))</f>
        <v/>
      </c>
    </row>
    <row r="68" ht="15" customHeight="1" s="30">
      <c r="A68" s="42" t="n"/>
      <c r="B68" s="42" t="n"/>
      <c r="C68" s="42" t="n"/>
      <c r="D68" s="42" t="n"/>
      <c r="E68" s="42" t="n"/>
      <c r="F68" s="42" t="n"/>
      <c r="G68" s="42" t="n"/>
      <c r="H68" s="38" t="n"/>
      <c r="I68" s="42" t="n"/>
      <c r="J68" s="42" t="n"/>
      <c r="K68" s="43">
        <f>IF(I68&lt;&gt;"",I68,IF(C68="","",H68))</f>
        <v/>
      </c>
      <c r="L68" s="42" t="n"/>
      <c r="M68" s="42" t="n"/>
      <c r="N68" s="42" t="n"/>
      <c r="O68" s="42" t="n"/>
      <c r="P68" s="42" t="n"/>
      <c r="Q68" s="42" t="n"/>
      <c r="R68" s="42" t="n"/>
      <c r="S68" s="42" t="n"/>
      <c r="T68" s="42" t="n"/>
      <c r="U68" s="42" t="n"/>
      <c r="V68" s="42" t="n"/>
      <c r="W68" s="42" t="n"/>
      <c r="X68" s="42" t="n"/>
      <c r="Y68" s="42">
        <f>IF(OR(C68="",K68&lt;&gt;"Yes"),"",IF(AND(I68&lt;&gt;"",J68=""),"Explain the override",IF(V68="","Assign an owner",IF(W68&lt;&gt;"Yes","No adopted policy",IF(OR(X68="",Profile!$B$30&gt;X68+365),"Review overdue","")))))</f>
        <v/>
      </c>
    </row>
    <row r="69" ht="15" customHeight="1" s="30">
      <c r="A69" s="42" t="n"/>
      <c r="B69" s="42" t="n"/>
      <c r="C69" s="42" t="n"/>
      <c r="D69" s="42" t="n"/>
      <c r="E69" s="42" t="n"/>
      <c r="F69" s="42" t="n"/>
      <c r="G69" s="42" t="n"/>
      <c r="H69" s="38" t="n"/>
      <c r="I69" s="42" t="n"/>
      <c r="J69" s="42" t="n"/>
      <c r="K69" s="43">
        <f>IF(I69&lt;&gt;"",I69,IF(C69="","",H69))</f>
        <v/>
      </c>
      <c r="L69" s="42" t="n"/>
      <c r="M69" s="42" t="n"/>
      <c r="N69" s="42" t="n"/>
      <c r="O69" s="42" t="n"/>
      <c r="P69" s="42" t="n"/>
      <c r="Q69" s="42" t="n"/>
      <c r="R69" s="42" t="n"/>
      <c r="S69" s="42" t="n"/>
      <c r="T69" s="42" t="n"/>
      <c r="U69" s="42" t="n"/>
      <c r="V69" s="42" t="n"/>
      <c r="W69" s="42" t="n"/>
      <c r="X69" s="42" t="n"/>
      <c r="Y69" s="42">
        <f>IF(OR(C69="",K69&lt;&gt;"Yes"),"",IF(AND(I69&lt;&gt;"",J69=""),"Explain the override",IF(V69="","Assign an owner",IF(W69&lt;&gt;"Yes","No adopted policy",IF(OR(X69="",Profile!$B$30&gt;X69+365),"Review overdue","")))))</f>
        <v/>
      </c>
    </row>
    <row r="70" ht="15" customHeight="1" s="30">
      <c r="A70" s="42" t="n"/>
      <c r="B70" s="42" t="n"/>
      <c r="C70" s="42" t="n"/>
      <c r="D70" s="42" t="n"/>
      <c r="E70" s="42" t="n"/>
      <c r="F70" s="42" t="n"/>
      <c r="G70" s="42" t="n"/>
      <c r="H70" s="38" t="n"/>
      <c r="I70" s="42" t="n"/>
      <c r="J70" s="42" t="n"/>
      <c r="K70" s="43">
        <f>IF(I70&lt;&gt;"",I70,IF(C70="","",H70))</f>
        <v/>
      </c>
      <c r="L70" s="42" t="n"/>
      <c r="M70" s="42" t="n"/>
      <c r="N70" s="42" t="n"/>
      <c r="O70" s="42" t="n"/>
      <c r="P70" s="42" t="n"/>
      <c r="Q70" s="42" t="n"/>
      <c r="R70" s="42" t="n"/>
      <c r="S70" s="42" t="n"/>
      <c r="T70" s="42" t="n"/>
      <c r="U70" s="42" t="n"/>
      <c r="V70" s="42" t="n"/>
      <c r="W70" s="42" t="n"/>
      <c r="X70" s="42" t="n"/>
      <c r="Y70" s="42">
        <f>IF(OR(C70="",K70&lt;&gt;"Yes"),"",IF(AND(I70&lt;&gt;"",J70=""),"Explain the override",IF(V70="","Assign an owner",IF(W70&lt;&gt;"Yes","No adopted policy",IF(OR(X70="",Profile!$B$30&gt;X70+365),"Review overdue","")))))</f>
        <v/>
      </c>
    </row>
    <row r="71" ht="15" customHeight="1" s="30">
      <c r="A71" s="42" t="n"/>
      <c r="B71" s="42" t="n"/>
      <c r="C71" s="42" t="n"/>
      <c r="D71" s="42" t="n"/>
      <c r="E71" s="42" t="n"/>
      <c r="F71" s="42" t="n"/>
      <c r="G71" s="42" t="n"/>
      <c r="H71" s="38" t="n"/>
      <c r="I71" s="42" t="n"/>
      <c r="J71" s="42" t="n"/>
      <c r="K71" s="43">
        <f>IF(I71&lt;&gt;"",I71,IF(C71="","",H71))</f>
        <v/>
      </c>
      <c r="L71" s="42" t="n"/>
      <c r="M71" s="42" t="n"/>
      <c r="N71" s="42" t="n"/>
      <c r="O71" s="42" t="n"/>
      <c r="P71" s="42" t="n"/>
      <c r="Q71" s="42" t="n"/>
      <c r="R71" s="42" t="n"/>
      <c r="S71" s="42" t="n"/>
      <c r="T71" s="42" t="n"/>
      <c r="U71" s="42" t="n"/>
      <c r="V71" s="42" t="n"/>
      <c r="W71" s="42" t="n"/>
      <c r="X71" s="42" t="n"/>
      <c r="Y71" s="42">
        <f>IF(OR(C71="",K71&lt;&gt;"Yes"),"",IF(AND(I71&lt;&gt;"",J71=""),"Explain the override",IF(V71="","Assign an owner",IF(W71&lt;&gt;"Yes","No adopted policy",IF(OR(X71="",Profile!$B$30&gt;X71+365),"Review overdue","")))))</f>
        <v/>
      </c>
    </row>
    <row r="72" ht="15" customHeight="1" s="30">
      <c r="A72" s="42" t="n"/>
      <c r="B72" s="42" t="n"/>
      <c r="C72" s="42" t="n"/>
      <c r="D72" s="42" t="n"/>
      <c r="E72" s="42" t="n"/>
      <c r="F72" s="42" t="n"/>
      <c r="G72" s="42" t="n"/>
      <c r="H72" s="38" t="n"/>
      <c r="I72" s="42" t="n"/>
      <c r="J72" s="42" t="n"/>
      <c r="K72" s="43">
        <f>IF(I72&lt;&gt;"",I72,IF(C72="","",H72))</f>
        <v/>
      </c>
      <c r="L72" s="42" t="n"/>
      <c r="M72" s="42" t="n"/>
      <c r="N72" s="42" t="n"/>
      <c r="O72" s="42" t="n"/>
      <c r="P72" s="42" t="n"/>
      <c r="Q72" s="42" t="n"/>
      <c r="R72" s="42" t="n"/>
      <c r="S72" s="42" t="n"/>
      <c r="T72" s="42" t="n"/>
      <c r="U72" s="42" t="n"/>
      <c r="V72" s="42" t="n"/>
      <c r="W72" s="42" t="n"/>
      <c r="X72" s="42" t="n"/>
      <c r="Y72" s="42">
        <f>IF(OR(C72="",K72&lt;&gt;"Yes"),"",IF(AND(I72&lt;&gt;"",J72=""),"Explain the override",IF(V72="","Assign an owner",IF(W72&lt;&gt;"Yes","No adopted policy",IF(OR(X72="",Profile!$B$30&gt;X72+365),"Review overdue","")))))</f>
        <v/>
      </c>
    </row>
    <row r="73" ht="15" customHeight="1" s="30">
      <c r="A73" s="42" t="n"/>
      <c r="B73" s="42" t="n"/>
      <c r="C73" s="42" t="n"/>
      <c r="D73" s="42" t="n"/>
      <c r="E73" s="42" t="n"/>
      <c r="F73" s="42" t="n"/>
      <c r="G73" s="42" t="n"/>
      <c r="H73" s="38" t="n"/>
      <c r="I73" s="42" t="n"/>
      <c r="J73" s="42" t="n"/>
      <c r="K73" s="43">
        <f>IF(I73&lt;&gt;"",I73,IF(C73="","",H73))</f>
        <v/>
      </c>
      <c r="L73" s="42" t="n"/>
      <c r="M73" s="42" t="n"/>
      <c r="N73" s="42" t="n"/>
      <c r="O73" s="42" t="n"/>
      <c r="P73" s="42" t="n"/>
      <c r="Q73" s="42" t="n"/>
      <c r="R73" s="42" t="n"/>
      <c r="S73" s="42" t="n"/>
      <c r="T73" s="42" t="n"/>
      <c r="U73" s="42" t="n"/>
      <c r="V73" s="42" t="n"/>
      <c r="W73" s="42" t="n"/>
      <c r="X73" s="42" t="n"/>
      <c r="Y73" s="42">
        <f>IF(OR(C73="",K73&lt;&gt;"Yes"),"",IF(AND(I73&lt;&gt;"",J73=""),"Explain the override",IF(V73="","Assign an owner",IF(W73&lt;&gt;"Yes","No adopted policy",IF(OR(X73="",Profile!$B$30&gt;X73+365),"Review overdue","")))))</f>
        <v/>
      </c>
    </row>
    <row r="74" ht="15" customHeight="1" s="30">
      <c r="A74" s="42" t="n"/>
      <c r="B74" s="42" t="n"/>
      <c r="C74" s="42" t="n"/>
      <c r="D74" s="42" t="n"/>
      <c r="E74" s="42" t="n"/>
      <c r="F74" s="42" t="n"/>
      <c r="G74" s="42" t="n"/>
      <c r="H74" s="38" t="n"/>
      <c r="I74" s="42" t="n"/>
      <c r="J74" s="42" t="n"/>
      <c r="K74" s="43">
        <f>IF(I74&lt;&gt;"",I74,IF(C74="","",H74))</f>
        <v/>
      </c>
      <c r="L74" s="42" t="n"/>
      <c r="M74" s="42" t="n"/>
      <c r="N74" s="42" t="n"/>
      <c r="O74" s="42" t="n"/>
      <c r="P74" s="42" t="n"/>
      <c r="Q74" s="42" t="n"/>
      <c r="R74" s="42" t="n"/>
      <c r="S74" s="42" t="n"/>
      <c r="T74" s="42" t="n"/>
      <c r="U74" s="42" t="n"/>
      <c r="V74" s="42" t="n"/>
      <c r="W74" s="42" t="n"/>
      <c r="X74" s="42" t="n"/>
      <c r="Y74" s="42">
        <f>IF(OR(C74="",K74&lt;&gt;"Yes"),"",IF(AND(I74&lt;&gt;"",J74=""),"Explain the override",IF(V74="","Assign an owner",IF(W74&lt;&gt;"Yes","No adopted policy",IF(OR(X74="",Profile!$B$30&gt;X74+365),"Review overdue","")))))</f>
        <v/>
      </c>
    </row>
    <row r="75" ht="15" customHeight="1" s="30">
      <c r="A75" s="42" t="n"/>
      <c r="B75" s="42" t="n"/>
      <c r="C75" s="42" t="n"/>
      <c r="D75" s="42" t="n"/>
      <c r="E75" s="42" t="n"/>
      <c r="F75" s="42" t="n"/>
      <c r="G75" s="42" t="n"/>
      <c r="H75" s="38" t="n"/>
      <c r="I75" s="42" t="n"/>
      <c r="J75" s="42" t="n"/>
      <c r="K75" s="43">
        <f>IF(I75&lt;&gt;"",I75,IF(C75="","",H75))</f>
        <v/>
      </c>
      <c r="L75" s="42" t="n"/>
      <c r="M75" s="42" t="n"/>
      <c r="N75" s="42" t="n"/>
      <c r="O75" s="42" t="n"/>
      <c r="P75" s="42" t="n"/>
      <c r="Q75" s="42" t="n"/>
      <c r="R75" s="42" t="n"/>
      <c r="S75" s="42" t="n"/>
      <c r="T75" s="42" t="n"/>
      <c r="U75" s="42" t="n"/>
      <c r="V75" s="42" t="n"/>
      <c r="W75" s="42" t="n"/>
      <c r="X75" s="42" t="n"/>
      <c r="Y75" s="42">
        <f>IF(OR(C75="",K75&lt;&gt;"Yes"),"",IF(AND(I75&lt;&gt;"",J75=""),"Explain the override",IF(V75="","Assign an owner",IF(W75&lt;&gt;"Yes","No adopted policy",IF(OR(X75="",Profile!$B$30&gt;X75+365),"Review overdue","")))))</f>
        <v/>
      </c>
    </row>
    <row r="76" ht="15" customHeight="1" s="30">
      <c r="A76" s="42" t="n"/>
      <c r="B76" s="42" t="n"/>
      <c r="C76" s="42" t="n"/>
      <c r="D76" s="42" t="n"/>
      <c r="E76" s="42" t="n"/>
      <c r="F76" s="42" t="n"/>
      <c r="G76" s="42" t="n"/>
      <c r="H76" s="38" t="n"/>
      <c r="I76" s="42" t="n"/>
      <c r="J76" s="42" t="n"/>
      <c r="K76" s="43">
        <f>IF(I76&lt;&gt;"",I76,IF(C76="","",H76))</f>
        <v/>
      </c>
      <c r="L76" s="42" t="n"/>
      <c r="M76" s="42" t="n"/>
      <c r="N76" s="42" t="n"/>
      <c r="O76" s="42" t="n"/>
      <c r="P76" s="42" t="n"/>
      <c r="Q76" s="42" t="n"/>
      <c r="R76" s="42" t="n"/>
      <c r="S76" s="42" t="n"/>
      <c r="T76" s="42" t="n"/>
      <c r="U76" s="42" t="n"/>
      <c r="V76" s="42" t="n"/>
      <c r="W76" s="42" t="n"/>
      <c r="X76" s="42" t="n"/>
      <c r="Y76" s="42">
        <f>IF(OR(C76="",K76&lt;&gt;"Yes"),"",IF(AND(I76&lt;&gt;"",J76=""),"Explain the override",IF(V76="","Assign an owner",IF(W76&lt;&gt;"Yes","No adopted policy",IF(OR(X76="",Profile!$B$30&gt;X76+365),"Review overdue","")))))</f>
        <v/>
      </c>
    </row>
  </sheetData>
  <autoFilter ref="A4:Y76"/>
  <conditionalFormatting sqref="K5:K76">
    <cfRule type="cellIs" rank="0" priority="2" equalAverage="0" operator="equal" aboveAverage="0" dxfId="11" text="" percent="0" bottom="0">
      <formula>"Yes"</formula>
    </cfRule>
    <cfRule type="cellIs" rank="0" priority="3" equalAverage="0" operator="equal" aboveAverage="0" dxfId="12" text="" percent="0" bottom="0">
      <formula>"No"</formula>
    </cfRule>
  </conditionalFormatting>
  <conditionalFormatting sqref="M5:S76">
    <cfRule type="cellIs" rank="0" priority="4" equalAverage="0" operator="equal" aboveAverage="0" dxfId="13" text="" percent="0" bottom="0">
      <formula>"X"</formula>
    </cfRule>
  </conditionalFormatting>
  <conditionalFormatting sqref="Y5:Y76">
    <cfRule type="expression" rank="0" priority="5" equalAverage="0" aboveAverage="0" dxfId="14" text="" percent="0" bottom="0">
      <formula>LEN(Y5)&gt;0</formula>
    </cfRule>
  </conditionalFormatting>
  <dataValidations count="2">
    <dataValidation sqref="I5:I76" showDropDown="0" showInputMessage="0" showErrorMessage="0" allowBlank="1" type="list" errorStyle="stop" operator="between">
      <formula1>"Yes,No"</formula1>
      <formula2>0</formula2>
    </dataValidation>
    <dataValidation sqref="W5:W76" showDropDown="0" showInputMessage="0" showErrorMessage="0" allowBlank="1" type="list" errorStyle="stop" operator="between">
      <formula1>"Yes,No"</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F2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0" customWidth="1" style="29" min="1" max="1"/>
    <col width="15" customWidth="1" style="29" min="2" max="6"/>
  </cols>
  <sheetData>
    <row r="1" ht="16.15" customHeight="1" s="30">
      <c r="A1" s="47" t="inlineStr">
        <is>
          <t>Applicability Summary</t>
        </is>
      </c>
    </row>
    <row r="2" ht="15" customHeight="1" s="30">
      <c r="A2" s="32">
        <f>"Profile: "&amp;Profile!C5</f>
        <v/>
      </c>
    </row>
    <row r="4" ht="15" customHeight="1" s="30">
      <c r="A4" s="36" t="inlineStr">
        <is>
          <t>Domain</t>
        </is>
      </c>
      <c r="B4" s="36" t="inlineStr">
        <is>
          <t>Laws listed</t>
        </is>
      </c>
      <c r="C4" s="36" t="inlineStr">
        <is>
          <t>Applicable</t>
        </is>
      </c>
      <c r="D4" s="36" t="inlineStr">
        <is>
          <t>Owner assigned</t>
        </is>
      </c>
      <c r="E4" s="36" t="inlineStr">
        <is>
          <t>Policy adopted</t>
        </is>
      </c>
      <c r="F4" s="36" t="inlineStr">
        <is>
          <t>Checks flagged</t>
        </is>
      </c>
    </row>
    <row r="5" ht="15" customHeight="1" s="30">
      <c r="A5" s="48" t="inlineStr">
        <is>
          <t>Deposits &amp; payments</t>
        </is>
      </c>
      <c r="B5" s="49">
        <f>COUNTIF(Matrix!$B$5:$B$76,A5)</f>
        <v/>
      </c>
      <c r="C5" s="49">
        <f>COUNTIFS(Matrix!$B$5:$B$76,A5,Matrix!$K$5:$K$76,"Yes")</f>
        <v/>
      </c>
      <c r="D5" s="49">
        <f>COUNTIFS(Matrix!$B$5:$B$76,A5,Matrix!$K$5:$K$76,"Yes",Matrix!$V$5:$V$76,"&lt;&gt;")</f>
        <v/>
      </c>
      <c r="E5" s="49">
        <f>COUNTIFS(Matrix!$B$5:$B$76,A5,Matrix!$K$5:$K$76,"Yes",Matrix!$W$5:$W$76,"Yes")</f>
        <v/>
      </c>
      <c r="F5" s="49">
        <f>COUNTIFS(Matrix!$B$5:$B$76,A5,Matrix!$Y$5:$Y$76,"?*")</f>
        <v/>
      </c>
    </row>
    <row r="6" ht="15" customHeight="1" s="30">
      <c r="A6" s="48" t="inlineStr">
        <is>
          <t>Lending</t>
        </is>
      </c>
      <c r="B6" s="49">
        <f>COUNTIF(Matrix!$B$5:$B$76,A6)</f>
        <v/>
      </c>
      <c r="C6" s="49">
        <f>COUNTIFS(Matrix!$B$5:$B$76,A6,Matrix!$K$5:$K$76,"Yes")</f>
        <v/>
      </c>
      <c r="D6" s="49">
        <f>COUNTIFS(Matrix!$B$5:$B$76,A6,Matrix!$K$5:$K$76,"Yes",Matrix!$V$5:$V$76,"&lt;&gt;")</f>
        <v/>
      </c>
      <c r="E6" s="49">
        <f>COUNTIFS(Matrix!$B$5:$B$76,A6,Matrix!$K$5:$K$76,"Yes",Matrix!$W$5:$W$76,"Yes")</f>
        <v/>
      </c>
      <c r="F6" s="49">
        <f>COUNTIFS(Matrix!$B$5:$B$76,A6,Matrix!$Y$5:$Y$76,"?*")</f>
        <v/>
      </c>
    </row>
    <row r="7" ht="15" customHeight="1" s="30">
      <c r="A7" s="48" t="inlineStr">
        <is>
          <t>Cross-product consumer</t>
        </is>
      </c>
      <c r="B7" s="49">
        <f>COUNTIF(Matrix!$B$5:$B$76,A7)</f>
        <v/>
      </c>
      <c r="C7" s="49">
        <f>COUNTIFS(Matrix!$B$5:$B$76,A7,Matrix!$K$5:$K$76,"Yes")</f>
        <v/>
      </c>
      <c r="D7" s="49">
        <f>COUNTIFS(Matrix!$B$5:$B$76,A7,Matrix!$K$5:$K$76,"Yes",Matrix!$V$5:$V$76,"&lt;&gt;")</f>
        <v/>
      </c>
      <c r="E7" s="49">
        <f>COUNTIFS(Matrix!$B$5:$B$76,A7,Matrix!$K$5:$K$76,"Yes",Matrix!$W$5:$W$76,"Yes")</f>
        <v/>
      </c>
      <c r="F7" s="49">
        <f>COUNTIFS(Matrix!$B$5:$B$76,A7,Matrix!$Y$5:$Y$76,"?*")</f>
        <v/>
      </c>
    </row>
    <row r="8" ht="15" customHeight="1" s="30">
      <c r="A8" s="48" t="inlineStr">
        <is>
          <t>Privacy &amp; communications</t>
        </is>
      </c>
      <c r="B8" s="49">
        <f>COUNTIF(Matrix!$B$5:$B$76,A8)</f>
        <v/>
      </c>
      <c r="C8" s="49">
        <f>COUNTIFS(Matrix!$B$5:$B$76,A8,Matrix!$K$5:$K$76,"Yes")</f>
        <v/>
      </c>
      <c r="D8" s="49">
        <f>COUNTIFS(Matrix!$B$5:$B$76,A8,Matrix!$K$5:$K$76,"Yes",Matrix!$V$5:$V$76,"&lt;&gt;")</f>
        <v/>
      </c>
      <c r="E8" s="49">
        <f>COUNTIFS(Matrix!$B$5:$B$76,A8,Matrix!$K$5:$K$76,"Yes",Matrix!$W$5:$W$76,"Yes")</f>
        <v/>
      </c>
      <c r="F8" s="49">
        <f>COUNTIFS(Matrix!$B$5:$B$76,A8,Matrix!$Y$5:$Y$76,"?*")</f>
        <v/>
      </c>
    </row>
    <row r="9" ht="15" customHeight="1" s="30">
      <c r="A9" s="48" t="inlineStr">
        <is>
          <t>BSA/AML &amp; sanctions</t>
        </is>
      </c>
      <c r="B9" s="49">
        <f>COUNTIF(Matrix!$B$5:$B$76,A9)</f>
        <v/>
      </c>
      <c r="C9" s="49">
        <f>COUNTIFS(Matrix!$B$5:$B$76,A9,Matrix!$K$5:$K$76,"Yes")</f>
        <v/>
      </c>
      <c r="D9" s="49">
        <f>COUNTIFS(Matrix!$B$5:$B$76,A9,Matrix!$K$5:$K$76,"Yes",Matrix!$V$5:$V$76,"&lt;&gt;")</f>
        <v/>
      </c>
      <c r="E9" s="49">
        <f>COUNTIFS(Matrix!$B$5:$B$76,A9,Matrix!$K$5:$K$76,"Yes",Matrix!$W$5:$W$76,"Yes")</f>
        <v/>
      </c>
      <c r="F9" s="49">
        <f>COUNTIFS(Matrix!$B$5:$B$76,A9,Matrix!$Y$5:$Y$76,"?*")</f>
        <v/>
      </c>
    </row>
    <row r="10" ht="15" customHeight="1" s="30">
      <c r="A10" s="48" t="inlineStr">
        <is>
          <t>Governance &amp; oversight</t>
        </is>
      </c>
      <c r="B10" s="49">
        <f>COUNTIF(Matrix!$B$5:$B$76,A10)</f>
        <v/>
      </c>
      <c r="C10" s="49">
        <f>COUNTIFS(Matrix!$B$5:$B$76,A10,Matrix!$K$5:$K$76,"Yes")</f>
        <v/>
      </c>
      <c r="D10" s="49">
        <f>COUNTIFS(Matrix!$B$5:$B$76,A10,Matrix!$K$5:$K$76,"Yes",Matrix!$V$5:$V$76,"&lt;&gt;")</f>
        <v/>
      </c>
      <c r="E10" s="49">
        <f>COUNTIFS(Matrix!$B$5:$B$76,A10,Matrix!$K$5:$K$76,"Yes",Matrix!$W$5:$W$76,"Yes")</f>
        <v/>
      </c>
      <c r="F10" s="49">
        <f>COUNTIFS(Matrix!$B$5:$B$76,A10,Matrix!$Y$5:$Y$76,"?*")</f>
        <v/>
      </c>
    </row>
    <row r="11" ht="15" customHeight="1" s="30">
      <c r="A11" s="48" t="inlineStr">
        <is>
          <t>Total</t>
        </is>
      </c>
      <c r="B11" s="50">
        <f>SUM(B5:B10)</f>
        <v/>
      </c>
      <c r="C11" s="50">
        <f>SUM(C5:C10)</f>
        <v/>
      </c>
      <c r="D11" s="50">
        <f>SUM(D5:D10)</f>
        <v/>
      </c>
      <c r="E11" s="50">
        <f>SUM(E5:E10)</f>
        <v/>
      </c>
      <c r="F11" s="50">
        <f>SUM(F5:F10)</f>
        <v/>
      </c>
    </row>
    <row r="13" ht="15" customHeight="1" s="30">
      <c r="A13" s="51" t="inlineStr">
        <is>
          <t>Applicable laws by lifecycle stage</t>
        </is>
      </c>
    </row>
    <row r="14" ht="15" customHeight="1" s="30">
      <c r="A14" s="36" t="inlineStr">
        <is>
          <t>Stage</t>
        </is>
      </c>
      <c r="B14" s="36" t="inlineStr">
        <is>
          <t>Applicable laws</t>
        </is>
      </c>
    </row>
    <row r="15" ht="15" customHeight="1" s="30">
      <c r="A15" s="52" t="inlineStr">
        <is>
          <t>Marketing</t>
        </is>
      </c>
      <c r="B15" s="49">
        <f>COUNTIFS(Matrix!$M$5:$M$76,"X",Matrix!$K$5:$K$76,"Yes")</f>
        <v/>
      </c>
    </row>
    <row r="16" ht="15" customHeight="1" s="30">
      <c r="A16" s="52" t="inlineStr">
        <is>
          <t>Onboarding</t>
        </is>
      </c>
      <c r="B16" s="49">
        <f>COUNTIFS(Matrix!$N$5:$N$76,"X",Matrix!$K$5:$K$76,"Yes")</f>
        <v/>
      </c>
    </row>
    <row r="17" ht="15" customHeight="1" s="30">
      <c r="A17" s="52" t="inlineStr">
        <is>
          <t>Disclosures</t>
        </is>
      </c>
      <c r="B17" s="49">
        <f>COUNTIFS(Matrix!$O$5:$O$76,"X",Matrix!$K$5:$K$76,"Yes")</f>
        <v/>
      </c>
    </row>
    <row r="18" ht="15" customHeight="1" s="30">
      <c r="A18" s="52" t="inlineStr">
        <is>
          <t>Servicing &amp; transactions</t>
        </is>
      </c>
      <c r="B18" s="49">
        <f>COUNTIFS(Matrix!$P$5:$P$76,"X",Matrix!$K$5:$K$76,"Yes")</f>
        <v/>
      </c>
    </row>
    <row r="19" ht="15" customHeight="1" s="30">
      <c r="A19" s="52" t="inlineStr">
        <is>
          <t>Errors &amp; disputes</t>
        </is>
      </c>
      <c r="B19" s="49">
        <f>COUNTIFS(Matrix!$Q$5:$Q$76,"X",Matrix!$K$5:$K$76,"Yes")</f>
        <v/>
      </c>
    </row>
    <row r="20" ht="15" customHeight="1" s="30">
      <c r="A20" s="52" t="inlineStr">
        <is>
          <t>Collections</t>
        </is>
      </c>
      <c r="B20" s="49">
        <f>COUNTIFS(Matrix!$R$5:$R$76,"X",Matrix!$K$5:$K$76,"Yes")</f>
        <v/>
      </c>
    </row>
    <row r="21" ht="15" customHeight="1" s="30">
      <c r="A21" s="52" t="inlineStr">
        <is>
          <t>Records &amp; closure</t>
        </is>
      </c>
      <c r="B21" s="49">
        <f>COUNTIFS(Matrix!$S$5:$S$76,"X",Matrix!$K$5:$K$76,"Yes")</f>
        <v/>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D3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1" customWidth="1" style="29" min="1" max="1"/>
    <col width="66" customWidth="1" style="29" min="2" max="2"/>
    <col width="28" customWidth="1" style="29" min="3" max="3"/>
    <col width="34" customWidth="1" style="29" min="4" max="4"/>
  </cols>
  <sheetData>
    <row r="1" ht="16.15" customHeight="1" s="30">
      <c r="A1" s="47" t="inlineStr">
        <is>
          <t>Institution and Product Profile</t>
        </is>
      </c>
    </row>
    <row r="2" ht="27.75" customHeight="1" s="30">
      <c r="A2" s="53" t="inlineStr">
        <is>
          <t>Answer every question. The Matrix tab calculates which laws apply from these answers. Gray italic answers are an example (a fintech offering consumer deposit accounts and debit cards through a sponsor bank).</t>
        </is>
      </c>
    </row>
    <row r="4" ht="15" customHeight="1" s="30">
      <c r="A4" s="36" t="inlineStr">
        <is>
          <t>Code</t>
        </is>
      </c>
      <c r="B4" s="36" t="inlineStr">
        <is>
          <t>Question</t>
        </is>
      </c>
      <c r="C4" s="37" t="inlineStr">
        <is>
          <t>Answer</t>
        </is>
      </c>
      <c r="D4" s="36" t="inlineStr">
        <is>
          <t>Notes</t>
        </is>
      </c>
    </row>
    <row r="5" ht="22.35" customHeight="1" s="30">
      <c r="A5" s="40" t="inlineStr">
        <is>
          <t>INST</t>
        </is>
      </c>
      <c r="B5" s="38" t="inlineStr">
        <is>
          <t>Institution type</t>
        </is>
      </c>
      <c r="C5" s="54" t="inlineStr">
        <is>
          <t>Fintech (sponsor bank program)</t>
        </is>
      </c>
      <c r="D5" s="55" t="inlineStr">
        <is>
          <t>Fintech (sponsor bank program), Bank, or Credit union</t>
        </is>
      </c>
    </row>
    <row r="6" ht="15" customHeight="1" s="30">
      <c r="A6" s="40" t="inlineStr">
        <is>
          <t>P1</t>
        </is>
      </c>
      <c r="B6" s="38" t="inlineStr">
        <is>
          <t>Consumer deposit accounts (checking or savings), held directly or through a bank</t>
        </is>
      </c>
      <c r="C6" s="54" t="inlineStr">
        <is>
          <t>Yes</t>
        </is>
      </c>
      <c r="D6" s="55" t="n"/>
    </row>
    <row r="7" ht="15" customHeight="1" s="30">
      <c r="A7" s="40" t="inlineStr">
        <is>
          <t>P2</t>
        </is>
      </c>
      <c r="B7" s="38" t="inlineStr">
        <is>
          <t>Custodial, pooled, or "for benefit of" deposit structure</t>
        </is>
      </c>
      <c r="C7" s="54" t="inlineStr">
        <is>
          <t>Yes</t>
        </is>
      </c>
      <c r="D7" s="55" t="n"/>
    </row>
    <row r="8" ht="15" customHeight="1" s="30">
      <c r="A8" s="40" t="inlineStr">
        <is>
          <t>P3</t>
        </is>
      </c>
      <c r="B8" s="38" t="inlineStr">
        <is>
          <t>Business deposit accounts</t>
        </is>
      </c>
      <c r="C8" s="54" t="inlineStr">
        <is>
          <t>No</t>
        </is>
      </c>
      <c r="D8" s="55" t="n"/>
    </row>
    <row r="9" ht="15" customHeight="1" s="30">
      <c r="A9" s="40" t="inlineStr">
        <is>
          <t>P4</t>
        </is>
      </c>
      <c r="B9" s="38" t="inlineStr">
        <is>
          <t>Debit cards</t>
        </is>
      </c>
      <c r="C9" s="54" t="inlineStr">
        <is>
          <t>Yes</t>
        </is>
      </c>
      <c r="D9" s="55" t="n"/>
    </row>
    <row r="10" ht="15" customHeight="1" s="30">
      <c r="A10" s="40" t="inlineStr">
        <is>
          <t>P5</t>
        </is>
      </c>
      <c r="B10" s="38" t="inlineStr">
        <is>
          <t>Prepaid accounts or cards</t>
        </is>
      </c>
      <c r="C10" s="54" t="inlineStr">
        <is>
          <t>No</t>
        </is>
      </c>
      <c r="D10" s="55" t="n"/>
    </row>
    <row r="11" ht="15" customHeight="1" s="30">
      <c r="A11" s="40" t="inlineStr">
        <is>
          <t>P6</t>
        </is>
      </c>
      <c r="B11" s="38" t="inlineStr">
        <is>
          <t>Credit cards or other open-end consumer credit</t>
        </is>
      </c>
      <c r="C11" s="54" t="inlineStr">
        <is>
          <t>No</t>
        </is>
      </c>
      <c r="D11" s="55" t="n"/>
    </row>
    <row r="12" ht="15" customHeight="1" s="30">
      <c r="A12" s="40" t="inlineStr">
        <is>
          <t>P7</t>
        </is>
      </c>
      <c r="B12" s="38" t="inlineStr">
        <is>
          <t>Closed-end consumer loans</t>
        </is>
      </c>
      <c r="C12" s="54" t="inlineStr">
        <is>
          <t>No</t>
        </is>
      </c>
      <c r="D12" s="55" t="n"/>
    </row>
    <row r="13" ht="15" customHeight="1" s="30">
      <c r="A13" s="40" t="inlineStr">
        <is>
          <t>P8</t>
        </is>
      </c>
      <c r="B13" s="38" t="inlineStr">
        <is>
          <t>Small business or commercial credit</t>
        </is>
      </c>
      <c r="C13" s="54" t="inlineStr">
        <is>
          <t>No</t>
        </is>
      </c>
      <c r="D13" s="55" t="n"/>
    </row>
    <row r="14" ht="15" customHeight="1" s="30">
      <c r="A14" s="40" t="inlineStr">
        <is>
          <t>P9</t>
        </is>
      </c>
      <c r="B14" s="38" t="inlineStr">
        <is>
          <t>International consumer transfers (remittances)</t>
        </is>
      </c>
      <c r="C14" s="54" t="inlineStr">
        <is>
          <t>No</t>
        </is>
      </c>
      <c r="D14" s="55" t="n"/>
    </row>
    <row r="15" ht="15" customHeight="1" s="30">
      <c r="A15" s="40" t="inlineStr">
        <is>
          <t>P10</t>
        </is>
      </c>
      <c r="B15" s="38" t="inlineStr">
        <is>
          <t>ACH, wire, or other external transfers</t>
        </is>
      </c>
      <c r="C15" s="54" t="inlineStr">
        <is>
          <t>Yes</t>
        </is>
      </c>
      <c r="D15" s="55" t="n"/>
    </row>
    <row r="16" ht="15" customHeight="1" s="30">
      <c r="A16" s="40" t="inlineStr">
        <is>
          <t>P11</t>
        </is>
      </c>
      <c r="B16" s="38" t="inlineStr">
        <is>
          <t>Cash services (cash deposits or loads, monetary instruments)</t>
        </is>
      </c>
      <c r="C16" s="54" t="inlineStr">
        <is>
          <t>No</t>
        </is>
      </c>
      <c r="D16" s="55" t="inlineStr">
        <is>
          <t>ATM withdrawals alone do not count</t>
        </is>
      </c>
    </row>
    <row r="17" ht="15" customHeight="1" s="30">
      <c r="A17" s="40" t="inlineStr">
        <is>
          <t>F1</t>
        </is>
      </c>
      <c r="B17" s="38" t="inlineStr">
        <is>
          <t>Electronic delivery of disclosures (E-SIGN consent)</t>
        </is>
      </c>
      <c r="C17" s="54" t="inlineStr">
        <is>
          <t>Yes</t>
        </is>
      </c>
      <c r="D17" s="55" t="n"/>
    </row>
    <row r="18" ht="15" customHeight="1" s="30">
      <c r="A18" s="40" t="inlineStr">
        <is>
          <t>F2</t>
        </is>
      </c>
      <c r="B18" s="38" t="inlineStr">
        <is>
          <t>Calls or texts to consumers (marketing or informational)</t>
        </is>
      </c>
      <c r="C18" s="54" t="inlineStr">
        <is>
          <t>Yes</t>
        </is>
      </c>
      <c r="D18" s="55" t="n"/>
    </row>
    <row r="19" ht="15" customHeight="1" s="30">
      <c r="A19" s="40" t="inlineStr">
        <is>
          <t>F3</t>
        </is>
      </c>
      <c r="B19" s="38" t="inlineStr">
        <is>
          <t>Commercial email to consumers</t>
        </is>
      </c>
      <c r="C19" s="54" t="inlineStr">
        <is>
          <t>Yes</t>
        </is>
      </c>
      <c r="D19" s="55" t="n"/>
    </row>
    <row r="20" ht="15" customHeight="1" s="30">
      <c r="A20" s="40" t="inlineStr">
        <is>
          <t>F4</t>
        </is>
      </c>
      <c r="B20" s="38" t="inlineStr">
        <is>
          <t>Obtains consumer reports (credit or deposit-history reports)</t>
        </is>
      </c>
      <c r="C20" s="54" t="inlineStr">
        <is>
          <t>Yes</t>
        </is>
      </c>
      <c r="D20" s="55" t="n"/>
    </row>
    <row r="21" ht="15" customHeight="1" s="30">
      <c r="A21" s="40" t="inlineStr">
        <is>
          <t>F5</t>
        </is>
      </c>
      <c r="B21" s="38" t="inlineStr">
        <is>
          <t>Furnishes information to consumer reporting agencies</t>
        </is>
      </c>
      <c r="C21" s="54" t="inlineStr">
        <is>
          <t>No</t>
        </is>
      </c>
      <c r="D21" s="55" t="n"/>
    </row>
    <row r="22" ht="15" customHeight="1" s="30">
      <c r="A22" s="40" t="inlineStr">
        <is>
          <t>F6</t>
        </is>
      </c>
      <c r="B22" s="38" t="inlineStr">
        <is>
          <t>Collects debts (own, such as negative balances, or through collectors)</t>
        </is>
      </c>
      <c r="C22" s="54" t="inlineStr">
        <is>
          <t>Yes</t>
        </is>
      </c>
      <c r="D22" s="55" t="n"/>
    </row>
    <row r="23" ht="15" customHeight="1" s="30">
      <c r="A23" s="40" t="inlineStr">
        <is>
          <t>F7</t>
        </is>
      </c>
      <c r="B23" s="38" t="inlineStr">
        <is>
          <t>Company is itself a BSA financial institution (for example, a money services business)</t>
        </is>
      </c>
      <c r="C23" s="54" t="inlineStr">
        <is>
          <t>No</t>
        </is>
      </c>
      <c r="D23" s="55" t="inlineStr">
        <is>
          <t>Fintechs: confirm with counsel</t>
        </is>
      </c>
    </row>
    <row r="24" ht="15" customHeight="1" s="30">
      <c r="A24" s="40" t="inlineStr">
        <is>
          <t>F8</t>
        </is>
      </c>
      <c r="B24" s="38" t="inlineStr">
        <is>
          <t>Uses third parties for customer-facing or compliance functions</t>
        </is>
      </c>
      <c r="C24" s="54" t="inlineStr">
        <is>
          <t>Yes</t>
        </is>
      </c>
      <c r="D24" s="55" t="n"/>
    </row>
    <row r="25" ht="15" customHeight="1" s="30">
      <c r="A25" s="40" t="inlineStr">
        <is>
          <t>F9</t>
        </is>
      </c>
      <c r="B25" s="38" t="inlineStr">
        <is>
          <t>Offers products through fintech partners (banks and credit unions)</t>
        </is>
      </c>
      <c r="C25" s="54" t="inlineStr">
        <is>
          <t>No</t>
        </is>
      </c>
      <c r="D25" s="55" t="n"/>
    </row>
    <row r="26" ht="15" customHeight="1" s="30">
      <c r="A26" s="40" t="inlineStr">
        <is>
          <t>F10</t>
        </is>
      </c>
      <c r="B26" s="38" t="inlineStr">
        <is>
          <t>Holds customer funds that can become dormant or abandoned</t>
        </is>
      </c>
      <c r="C26" s="54" t="inlineStr">
        <is>
          <t>Yes</t>
        </is>
      </c>
      <c r="D26" s="55" t="n"/>
    </row>
    <row r="30" ht="15.75" customHeight="1" s="30">
      <c r="A30" s="56" t="inlineStr">
        <is>
          <t>As-of date</t>
        </is>
      </c>
      <c r="B30" s="57">
        <f>TODAY()</f>
        <v/>
      </c>
    </row>
  </sheetData>
  <mergeCells count="1">
    <mergeCell ref="A2:D2"/>
  </mergeCells>
  <dataValidations count="2">
    <dataValidation sqref="C6:C26" showDropDown="0" showInputMessage="0" showErrorMessage="0" allowBlank="1" type="list" errorStyle="stop" operator="between">
      <formula1>"Yes,No"</formula1>
      <formula2>0</formula2>
    </dataValidation>
    <dataValidation sqref="C5" showDropDown="0" showInputMessage="0" showErrorMessage="0" allowBlank="0" type="list" errorStyle="stop" operator="between">
      <formula1>"Fintech (sponsor bank program),Bank,Credit union"</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Regulatory Applicability Matrix</dc:title>
  <dc:subject>KCG-TLS-01</dc:subject>
  <dc:creator>Key Compliance Group, LLC</dc:creator>
  <cp:lastModifiedBy>Mike</cp:lastModifiedBy>
  <dcterms:created xsi:type="dcterms:W3CDTF">2026-10-10T14:39:08Z</dcterms:created>
  <dcterms:modified xsi:type="dcterms:W3CDTF">2026-10-14T16:57:04Z</dcterms:modified>
</cp:coreProperties>
</file>