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ME" sheetId="1" state="visible" r:id="rId1"/>
    <sheet xmlns:r="http://schemas.openxmlformats.org/officeDocument/2006/relationships" name="Log" sheetId="2" state="visible" r:id="rId2"/>
    <sheet xmlns:r="http://schemas.openxmlformats.org/officeDocument/2006/relationships" name="Summary" sheetId="3" state="visible" r:id="rId3"/>
    <sheet xmlns:r="http://schemas.openxmlformats.org/officeDocument/2006/relationships" name="Settings" sheetId="4" state="visible" r:id="rId4"/>
  </sheets>
  <definedNames>
    <definedName name="_xlnm._FilterDatabase" localSheetId="1" hidden="1">'Log'!$A$4:$AA$504</definedName>
    <definedName name="_xlnm.Print_Titles" localSheetId="1">'Log'!$4:$4</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mm/dd/yyyy"/>
    <numFmt numFmtId="165" formatCode="\$#,##0"/>
    <numFmt numFmtId="166" formatCode="mmm\ yyyy"/>
  </numFmts>
  <fonts count="16">
    <font>
      <name val="Calibri"/>
      <charset val="1"/>
      <family val="2"/>
      <color theme="1"/>
      <sz val="11"/>
    </font>
    <font>
      <name val="Arial"/>
      <family val="0"/>
      <sz val="10"/>
    </font>
    <font>
      <name val="Arial"/>
      <family val="0"/>
      <sz val="10"/>
    </font>
    <font>
      <name val="Arial"/>
      <family val="0"/>
      <sz val="10"/>
    </font>
    <font>
      <name val="Arial"/>
      <charset val="1"/>
      <family val="0"/>
      <b val="1"/>
      <color rgb="FF29235C"/>
      <sz val="16"/>
    </font>
    <font>
      <name val="Arial"/>
      <charset val="1"/>
      <family val="0"/>
      <color rgb="FF5F5F6B"/>
      <sz val="9"/>
    </font>
    <font>
      <name val="Arial"/>
      <charset val="1"/>
      <family val="0"/>
      <b val="1"/>
      <color rgb="FF29235C"/>
      <sz val="10"/>
    </font>
    <font>
      <name val="Arial"/>
      <charset val="1"/>
      <family val="0"/>
      <color rgb="FF000000"/>
      <sz val="10"/>
    </font>
    <font>
      <name val="Arial"/>
      <charset val="1"/>
      <family val="0"/>
      <b val="1"/>
      <color rgb="FF29235C"/>
      <sz val="12"/>
    </font>
    <font>
      <name val="Arial"/>
      <charset val="1"/>
      <family val="0"/>
      <b val="1"/>
      <color rgb="FFFFFFFF"/>
      <sz val="10"/>
    </font>
    <font>
      <name val="Arial"/>
      <charset val="1"/>
      <family val="0"/>
      <i val="1"/>
      <color rgb="FF595959"/>
      <sz val="9"/>
    </font>
    <font>
      <name val="Arial"/>
      <charset val="1"/>
      <family val="0"/>
      <color rgb="FF000000"/>
      <sz val="9"/>
    </font>
    <font>
      <name val="Arial"/>
      <charset val="1"/>
      <family val="0"/>
      <b val="1"/>
      <color rgb="FF29235C"/>
      <sz val="13"/>
    </font>
    <font>
      <name val="Arial"/>
      <charset val="1"/>
      <family val="0"/>
      <b val="1"/>
      <color rgb="FF29235C"/>
      <sz val="11"/>
    </font>
    <font>
      <name val="Arial"/>
      <charset val="1"/>
      <family val="0"/>
      <b val="1"/>
      <color rgb="FF000000"/>
      <sz val="10"/>
    </font>
    <font>
      <name val="Arial"/>
      <charset val="1"/>
      <family val="0"/>
      <i val="1"/>
      <color rgb="FF5F5F6B"/>
      <sz val="9"/>
    </font>
  </fonts>
  <fills count="6">
    <fill>
      <patternFill/>
    </fill>
    <fill>
      <patternFill patternType="gray125"/>
    </fill>
    <fill>
      <patternFill patternType="solid">
        <fgColor rgb="FF6B5B12"/>
        <bgColor rgb="FF595959"/>
      </patternFill>
    </fill>
    <fill>
      <patternFill patternType="solid">
        <fgColor rgb="FF29235C"/>
        <bgColor rgb="FF333399"/>
      </patternFill>
    </fill>
    <fill>
      <patternFill patternType="solid">
        <fgColor rgb="FFFFFBEA"/>
        <bgColor rgb="FFFFFFFF"/>
      </patternFill>
    </fill>
    <fill>
      <patternFill patternType="solid">
        <fgColor rgb="FFFFF2A8"/>
        <bgColor rgb="FFFFFBEA"/>
      </patternFill>
    </fill>
  </fills>
  <borders count="2">
    <border>
      <left/>
      <right/>
      <top/>
      <bottom/>
      <diagonal/>
    </border>
    <border>
      <left style="thin">
        <color rgb="FFC9C7DA"/>
      </left>
      <right style="thin">
        <color rgb="FFC9C7DA"/>
      </right>
      <top style="thin">
        <color rgb="FFC9C7DA"/>
      </top>
      <bottom style="thin">
        <color rgb="FFC9C7DA"/>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9">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5"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4" borderId="1" applyAlignment="1" pivotButton="0" quotePrefix="0" xfId="0">
      <alignment horizontal="general" vertical="top" wrapText="1"/>
    </xf>
    <xf numFmtId="164" fontId="10" fillId="4" borderId="1" applyAlignment="1" pivotButton="0" quotePrefix="0" xfId="0">
      <alignment horizontal="general" vertical="top" wrapText="1"/>
    </xf>
    <xf numFmtId="0" fontId="11" fillId="0" borderId="1" applyAlignment="1" pivotButton="0" quotePrefix="0" xfId="0">
      <alignment horizontal="general" vertical="top" wrapText="1"/>
    </xf>
    <xf numFmtId="164" fontId="11" fillId="0" borderId="1" applyAlignment="1" pivotButton="0" quotePrefix="0" xfId="0">
      <alignment horizontal="general" vertical="top" wrapText="1"/>
    </xf>
    <xf numFmtId="165" fontId="10" fillId="4" borderId="1" applyAlignment="1" pivotButton="0" quotePrefix="0" xfId="0">
      <alignment horizontal="general" vertical="top" wrapText="1"/>
    </xf>
    <xf numFmtId="0" fontId="11" fillId="0" borderId="1" applyAlignment="1" pivotButton="0" quotePrefix="0" xfId="0">
      <alignment horizontal="general" vertical="top" wrapText="1"/>
    </xf>
    <xf numFmtId="0" fontId="11" fillId="4" borderId="1" applyAlignment="1" pivotButton="0" quotePrefix="0" xfId="0">
      <alignment horizontal="general" vertical="top" wrapText="1"/>
    </xf>
    <xf numFmtId="164" fontId="11" fillId="4" borderId="1" applyAlignment="1" pivotButton="0" quotePrefix="0" xfId="0">
      <alignment horizontal="general" vertical="top" wrapText="1"/>
    </xf>
    <xf numFmtId="165" fontId="11" fillId="4" borderId="1" applyAlignment="1" pivotButton="0" quotePrefix="0" xfId="0">
      <alignment horizontal="general" vertical="top" wrapText="1"/>
    </xf>
    <xf numFmtId="0" fontId="12" fillId="0" borderId="0" applyAlignment="1" pivotButton="0" quotePrefix="0" xfId="0">
      <alignment horizontal="general" vertical="bottom"/>
    </xf>
    <xf numFmtId="0" fontId="13" fillId="0" borderId="0" applyAlignment="1" pivotButton="0" quotePrefix="0" xfId="0">
      <alignment horizontal="general" vertical="top"/>
    </xf>
    <xf numFmtId="166" fontId="7" fillId="0" borderId="1" applyAlignment="1" pivotButton="0" quotePrefix="0" xfId="0">
      <alignment horizontal="general" vertical="top" wrapText="1"/>
    </xf>
    <xf numFmtId="0" fontId="7" fillId="0" borderId="1" applyAlignment="1" pivotButton="0" quotePrefix="0" xfId="0">
      <alignment horizontal="center" vertical="top" wrapText="1"/>
    </xf>
    <xf numFmtId="0" fontId="14" fillId="0" borderId="1" applyAlignment="1" pivotButton="0" quotePrefix="0" xfId="0">
      <alignment horizontal="center" vertical="top" wrapText="1"/>
    </xf>
    <xf numFmtId="0" fontId="7" fillId="0" borderId="1" applyAlignment="1" pivotButton="0" quotePrefix="0" xfId="0">
      <alignment horizontal="general" vertical="top" wrapText="1"/>
    </xf>
    <xf numFmtId="165" fontId="7" fillId="0" borderId="1" applyAlignment="1" pivotButton="0" quotePrefix="0" xfId="0">
      <alignment horizontal="center" vertical="top" wrapText="1"/>
    </xf>
    <xf numFmtId="0" fontId="14" fillId="0" borderId="1" applyAlignment="1" pivotButton="0" quotePrefix="0" xfId="0">
      <alignment horizontal="general" vertical="top" wrapText="1"/>
    </xf>
    <xf numFmtId="9" fontId="7" fillId="0" borderId="1" applyAlignment="1" pivotButton="0" quotePrefix="0" xfId="0">
      <alignment horizontal="center" vertical="top" wrapText="1"/>
    </xf>
    <xf numFmtId="0" fontId="15" fillId="0" borderId="0" applyAlignment="1" pivotButton="0" quotePrefix="0" xfId="0">
      <alignment horizontal="general" vertical="bottom"/>
    </xf>
    <xf numFmtId="164" fontId="7" fillId="5" borderId="1" applyAlignment="1" pivotButton="0" quotePrefix="0" xfId="0">
      <alignment horizontal="center" vertical="top" wrapText="1"/>
    </xf>
    <xf numFmtId="0" fontId="7" fillId="5" borderId="1" applyAlignment="1" pivotButton="0" quotePrefix="0" xfId="0">
      <alignment horizontal="center"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4" borderId="1" applyAlignment="1" pivotButton="0" quotePrefix="0" xfId="0">
      <alignment horizontal="general" vertical="top" wrapText="1"/>
    </xf>
    <xf numFmtId="164" fontId="10" fillId="4" borderId="1" applyAlignment="1" pivotButton="0" quotePrefix="0" xfId="0">
      <alignment horizontal="general" vertical="top" wrapText="1"/>
    </xf>
    <xf numFmtId="0" fontId="11" fillId="0" borderId="1" applyAlignment="1" pivotButton="0" quotePrefix="0" xfId="0">
      <alignment horizontal="general" vertical="top" wrapText="1"/>
    </xf>
    <xf numFmtId="164" fontId="11" fillId="0" borderId="1" applyAlignment="1" pivotButton="0" quotePrefix="0" xfId="0">
      <alignment horizontal="general" vertical="top" wrapText="1"/>
    </xf>
    <xf numFmtId="165" fontId="10" fillId="4" borderId="1" applyAlignment="1" pivotButton="0" quotePrefix="0" xfId="0">
      <alignment horizontal="general" vertical="top" wrapText="1"/>
    </xf>
    <xf numFmtId="0" fontId="11" fillId="4" borderId="1" applyAlignment="1" pivotButton="0" quotePrefix="0" xfId="0">
      <alignment horizontal="general" vertical="top" wrapText="1"/>
    </xf>
    <xf numFmtId="164" fontId="11" fillId="4" borderId="1" applyAlignment="1" pivotButton="0" quotePrefix="0" xfId="0">
      <alignment horizontal="general" vertical="top" wrapText="1"/>
    </xf>
    <xf numFmtId="165" fontId="11" fillId="4" borderId="1" applyAlignment="1" pivotButton="0" quotePrefix="0" xfId="0">
      <alignment horizontal="general" vertical="top" wrapText="1"/>
    </xf>
    <xf numFmtId="0" fontId="12" fillId="0" borderId="0" applyAlignment="1" pivotButton="0" quotePrefix="0" xfId="0">
      <alignment horizontal="general" vertical="bottom"/>
    </xf>
    <xf numFmtId="0" fontId="13" fillId="0" borderId="0" applyAlignment="1" pivotButton="0" quotePrefix="0" xfId="0">
      <alignment horizontal="general" vertical="top"/>
    </xf>
    <xf numFmtId="166" fontId="7" fillId="0" borderId="1" applyAlignment="1" pivotButton="0" quotePrefix="0" xfId="0">
      <alignment horizontal="general" vertical="top" wrapText="1"/>
    </xf>
    <xf numFmtId="0" fontId="7" fillId="0" borderId="1" applyAlignment="1" pivotButton="0" quotePrefix="0" xfId="0">
      <alignment horizontal="center" vertical="top" wrapText="1"/>
    </xf>
    <xf numFmtId="0" fontId="14" fillId="0" borderId="1" applyAlignment="1" pivotButton="0" quotePrefix="0" xfId="0">
      <alignment horizontal="center" vertical="top" wrapText="1"/>
    </xf>
    <xf numFmtId="0" fontId="7" fillId="0" borderId="1" applyAlignment="1" pivotButton="0" quotePrefix="0" xfId="0">
      <alignment horizontal="general" vertical="top" wrapText="1"/>
    </xf>
    <xf numFmtId="165" fontId="7" fillId="0" borderId="1" applyAlignment="1" pivotButton="0" quotePrefix="0" xfId="0">
      <alignment horizontal="center" vertical="top" wrapText="1"/>
    </xf>
    <xf numFmtId="0" fontId="14" fillId="0" borderId="1" applyAlignment="1" pivotButton="0" quotePrefix="0" xfId="0">
      <alignment horizontal="general" vertical="top" wrapText="1"/>
    </xf>
    <xf numFmtId="9" fontId="7" fillId="0" borderId="1" applyAlignment="1" pivotButton="0" quotePrefix="0" xfId="0">
      <alignment horizontal="center" vertical="top" wrapText="1"/>
    </xf>
    <xf numFmtId="0" fontId="15" fillId="0" borderId="0" applyAlignment="1" pivotButton="0" quotePrefix="0" xfId="0">
      <alignment horizontal="general" vertical="bottom"/>
    </xf>
    <xf numFmtId="164" fontId="7" fillId="5" borderId="1" applyAlignment="1" pivotButton="0" quotePrefix="0" xfId="0">
      <alignment horizontal="center" vertical="top" wrapText="1"/>
    </xf>
    <xf numFmtId="0" fontId="7" fillId="5" borderId="1" applyAlignment="1" pivotButton="0" quotePrefix="0" xfId="0">
      <alignment horizontal="center"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5">
    <dxf>
      <fill>
        <patternFill patternType="solid">
          <fgColor rgb="FF6B5B12"/>
          <bgColor rgb="FF000000"/>
        </patternFill>
      </fill>
    </dxf>
    <dxf>
      <fill>
        <patternFill patternType="solid">
          <fgColor rgb="FFFFFBEA"/>
          <bgColor rgb="FF000000"/>
        </patternFill>
      </fill>
    </dxf>
    <dxf>
      <fill>
        <patternFill patternType="solid">
          <fgColor rgb="FF000000"/>
          <bgColor rgb="FF000000"/>
        </patternFill>
      </fill>
    </dxf>
    <dxf>
      <fill>
        <patternFill patternType="solid">
          <fgColor rgb="FF595959"/>
          <bgColor rgb="FF000000"/>
        </patternFill>
      </fill>
    </dxf>
    <dxf>
      <fill>
        <patternFill patternType="solid">
          <fgColor rgb="FFFFFFFF"/>
          <bgColor rgb="FF000000"/>
        </patternFill>
      </fill>
    </dxf>
    <dxf>
      <fill>
        <patternFill patternType="solid">
          <fgColor rgb="FF29235C"/>
          <bgColor rgb="FF000000"/>
        </patternFill>
      </fill>
    </dxf>
    <dxf>
      <fill>
        <patternFill patternType="solid">
          <fgColor rgb="FFECEBF4"/>
          <bgColor rgb="FF000000"/>
        </patternFill>
      </fill>
    </dxf>
    <dxf>
      <fill>
        <patternFill patternType="solid">
          <bgColor rgb="FF000000"/>
        </patternFill>
      </fill>
    </dxf>
    <dxf>
      <fill>
        <patternFill patternType="solid">
          <fgColor rgb="FFD9EAD3"/>
          <bgColor rgb="FF000000"/>
        </patternFill>
      </fill>
    </dxf>
    <dxf>
      <fill>
        <patternFill patternType="solid">
          <fgColor rgb="FFC00000"/>
          <bgColor rgb="FF000000"/>
        </patternFill>
      </fill>
    </dxf>
    <dxf>
      <fill>
        <patternFill>
          <bgColor rgb="FFF9CB9C"/>
        </patternFill>
      </fill>
    </dxf>
    <dxf>
      <fill>
        <patternFill>
          <bgColor rgb="FFF4B6B6"/>
        </patternFill>
      </fill>
    </dxf>
    <dxf>
      <fill>
        <patternFill>
          <bgColor rgb="FFD9EAD3"/>
        </patternFill>
      </fill>
    </dxf>
    <dxf>
      <font>
        <name val="Arial"/>
        <charset val="1"/>
        <family val="0"/>
        <b val="1"/>
        <color rgb="FF29235C"/>
        <sz val="9"/>
      </font>
      <fill>
        <patternFill>
          <bgColor rgb="FFECEBF4"/>
        </patternFill>
      </fill>
    </dxf>
    <dxf>
      <font>
        <name val="Arial"/>
        <charset val="1"/>
        <family val="0"/>
        <b val="1"/>
        <color rgb="FFC00000"/>
        <sz val="9"/>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6B5B12"/>
      <rgbColor rgb="FF800080"/>
      <rgbColor rgb="FF008080"/>
      <rgbColor rgb="FFC9C7DA"/>
      <rgbColor rgb="FF595959"/>
      <rgbColor rgb="FF9999FF"/>
      <rgbColor rgb="FF993366"/>
      <rgbColor rgb="FFFFFBEA"/>
      <rgbColor rgb="FFECEB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2A8"/>
      <rgbColor rgb="FF99CCFF"/>
      <rgbColor rgb="FFF4B6B6"/>
      <rgbColor rgb="FFCC99FF"/>
      <rgbColor rgb="FFF9CB9C"/>
      <rgbColor rgb="FF3366FF"/>
      <rgbColor rgb="FF33CCCC"/>
      <rgbColor rgb="FF99CC00"/>
      <rgbColor rgb="FFFFCC00"/>
      <rgbColor rgb="FFFF9900"/>
      <rgbColor rgb="FFFF6600"/>
      <rgbColor rgb="FF5F5F6B"/>
      <rgbColor rgb="FF969696"/>
      <rgbColor rgb="FF003366"/>
      <rgbColor rgb="FF339966"/>
      <rgbColor rgb="FF003300"/>
      <rgbColor rgb="FF333300"/>
      <rgbColor rgb="FF993300"/>
      <rgbColor rgb="FF993366"/>
      <rgbColor rgb="FF333399"/>
      <rgbColor rgb="FF29235C"/>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1</col>
      <colOff>0</colOff>
      <row>0</row>
      <rowOff>0</rowOff>
    </from>
    <to>
      <col>1</col>
      <colOff>1523520</colOff>
      <row>4</row>
      <rowOff>75600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0"/>
          <a:ext cx="1523520" cy="83772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B7:C15"/>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0" min="1" max="1"/>
    <col width="24" customWidth="1" style="30" min="2" max="2"/>
    <col width="100" customWidth="1" style="30" min="3" max="3"/>
  </cols>
  <sheetData>
    <row r="7" ht="19.7" customHeight="1" s="31">
      <c r="B7" s="32" t="inlineStr">
        <is>
          <t>Complaint Log &amp; Root-Cause Taxonomy</t>
        </is>
      </c>
    </row>
    <row r="8" ht="15" customHeight="1" s="31">
      <c r="B8" s="33" t="inlineStr">
        <is>
          <t>KCG-TLS-08  |  Version 1.0  |  Applies KCG-GOV-POL-06 (Complaint Management Policy)  |  Current as of October 10, 2026</t>
        </is>
      </c>
    </row>
    <row r="10" ht="75" customHeight="1" s="31">
      <c r="B10" s="34" t="inlineStr">
        <is>
          <t>What this is</t>
        </is>
      </c>
      <c r="C10" s="35" t="inlineStr">
        <is>
          <t>One log for every complaint from every channel. It classifies each complaint as standard or escalated, calculates acknowledgment and resolution deadlines (using any shorter legal or external deadline you enter), tracks Sponsor Bank notice, and flags policy breaks. The Summary tab gives monthly volumes, issue categories, root causes, and timeliness for the Compliance Committee and Sponsor Bank.</t>
        </is>
      </c>
    </row>
    <row r="11" ht="90" customHeight="1" s="31">
      <c r="B11" s="34" t="inlineStr">
        <is>
          <t>How to use it</t>
        </is>
      </c>
      <c r="C11" s="35" t="inlineStr">
        <is>
          <t>1) Settings: make timeframes match your policy; edit categories and root causes if needed (keep the lists short and stable so trends mean something).  2) Log every complaint, including those resolved on first contact.  3) Answer the two escalation questions; the Type column follows.  4) For legal-notice complaints, enter the legal deadline (Appendix A of the policy).  5) Record the outcome and root cause when resolved, and an issue ID if you opened one.  6) Clear the Check column before each report.</t>
        </is>
      </c>
    </row>
    <row r="12" ht="30" customHeight="1" s="31">
      <c r="B12" s="34" t="inlineStr">
        <is>
          <t>Privacy</t>
        </is>
      </c>
      <c r="C12" s="35" t="inlineStr">
        <is>
          <t>The log contains customer information. Restrict access, use account IDs rather than full account numbers, and keep it under your records retention schedule.</t>
        </is>
      </c>
    </row>
    <row r="13" ht="30" customHeight="1" s="31">
      <c r="B13" s="34" t="inlineStr">
        <is>
          <t>Example rows</t>
        </is>
      </c>
      <c r="C13" s="35" t="inlineStr">
        <is>
          <t>Three example complaints are in gray italics. Overwrite or delete them.</t>
        </is>
      </c>
    </row>
    <row r="14" ht="30" customHeight="1" s="31">
      <c r="B14" s="34" t="inlineStr">
        <is>
          <t>Not legal advice</t>
        </is>
      </c>
      <c r="C14" s="35" t="inlineStr">
        <is>
          <t>This tool is a template for general informational purposes. Confirm current requirements and consult counsel where appropriate.</t>
        </is>
      </c>
    </row>
    <row r="15" ht="60" customHeight="1" s="31">
      <c r="B15" s="34" t="inlineStr">
        <is>
          <t>License</t>
        </is>
      </c>
      <c r="C15" s="35" t="inlineStr">
        <is>
          <t>© 2026 Key Compliance Group, LLC. All rights reserved. Provided free of charge. Licensed, not sold, to the institution that downloads it, for internal use in its own compliance program, including sharing completed versions with its sponsor bank, regulators, auditors, and advisors. No resale, sublicensing, publication, or other distribution without written permission from Key Compliance Group, LLC. keycompliancegroup.com</t>
        </is>
      </c>
    </row>
  </sheetData>
  <mergeCells count="2">
    <mergeCell ref="B8:C8"/>
    <mergeCell ref="B7:C7"/>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AA504"/>
  <sheetViews>
    <sheetView showFormulas="0" showGridLines="0" showRowColHeaders="1" showZeros="1" rightToLeft="0" tabSelected="0" showOutlineSymbols="1" defaultGridColor="1"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baseColWidth="8" defaultColWidth="8.6796875" defaultRowHeight="15" zeroHeight="0" outlineLevelRow="0"/>
  <cols>
    <col width="12" customWidth="1" style="30" min="1" max="1"/>
    <col width="11" customWidth="1" style="30" min="2" max="2"/>
    <col width="11" customWidth="1" style="31" min="3" max="3"/>
    <col width="15" customWidth="1" style="30" min="4" max="4"/>
    <col width="14" customWidth="1" style="30" min="5" max="5"/>
    <col width="16" customWidth="1" style="30" min="6" max="6"/>
    <col width="20" customWidth="1" style="30" min="7" max="7"/>
    <col width="34" customWidth="1" style="30" min="8" max="8"/>
    <col width="14" customWidth="1" style="30" min="9" max="9"/>
    <col width="22" customWidth="1" style="30" min="10" max="10"/>
    <col width="16" customWidth="1" style="30" min="11" max="11"/>
    <col width="10" customWidth="1" style="30" min="12" max="12"/>
    <col width="11" customWidth="1" style="30" min="13" max="13"/>
    <col width="11" customWidth="1" style="31" min="14" max="14"/>
    <col width="11" customWidth="1" style="31" min="15" max="15"/>
    <col width="14" customWidth="1" style="31" min="16" max="16"/>
    <col width="11" customWidth="1" style="31" min="17" max="17"/>
    <col width="11" customWidth="1" style="31" min="18" max="18"/>
    <col width="11" customWidth="1" style="31" min="19" max="19"/>
    <col width="16" customWidth="1" style="30" min="20" max="20"/>
    <col width="14" customWidth="1" style="30" min="21" max="21"/>
    <col width="20" customWidth="1" style="30" min="22" max="22"/>
    <col width="12" customWidth="1" style="30" min="23" max="23"/>
    <col width="14" customWidth="1" style="30" min="24" max="24"/>
    <col width="8" customWidth="1" style="30" min="25" max="25"/>
    <col width="13" customWidth="1" style="30" min="26" max="26"/>
    <col width="30" customWidth="1" style="30" min="27" max="27"/>
  </cols>
  <sheetData>
    <row r="1" ht="15" customHeight="1" s="31">
      <c r="A1" s="36" t="inlineStr">
        <is>
          <t>Complaint Log  ·  KCG-TLS-08 v1.0  ·  applies KCG-GOV-POL-06</t>
        </is>
      </c>
    </row>
    <row r="2" ht="15" customHeight="1" s="31">
      <c r="A2" s="33">
        <f>"[Company]  ·  As of "&amp;TEXT(Settings!B4,"mm/dd/yyyy")&amp;"  ·  Confidential: contains customer information"</f>
        <v/>
      </c>
    </row>
    <row r="4" ht="80" customHeight="1" s="31">
      <c r="A4" s="37" t="inlineStr">
        <is>
          <t>Complaint ID</t>
        </is>
      </c>
      <c r="B4" s="37" t="inlineStr">
        <is>
          <t>Date received</t>
        </is>
      </c>
      <c r="C4" s="37" t="inlineStr">
        <is>
          <t>Date logged</t>
        </is>
      </c>
      <c r="D4" s="37" t="inlineStr">
        <is>
          <t>Channel</t>
        </is>
      </c>
      <c r="E4" s="37" t="inlineStr">
        <is>
          <t>Customer / account ID</t>
        </is>
      </c>
      <c r="F4" s="37" t="inlineStr">
        <is>
          <t>Product</t>
        </is>
      </c>
      <c r="G4" s="37" t="inlineStr">
        <is>
          <t>Issue category</t>
        </is>
      </c>
      <c r="H4" s="37" t="inlineStr">
        <is>
          <t>Description (customer's words)</t>
        </is>
      </c>
      <c r="I4" s="37" t="inlineStr">
        <is>
          <t>Alleges discrimination, UDAAP, or legal violation?</t>
        </is>
      </c>
      <c r="J4" s="37" t="inlineStr">
        <is>
          <t>Other escalation trigger (attorney, media, employee misconduct, privacy, vulnerable customer)</t>
        </is>
      </c>
      <c r="K4" s="37" t="inlineStr">
        <is>
          <t>Legal notice</t>
        </is>
      </c>
      <c r="L4" s="38" t="inlineStr">
        <is>
          <t>Type</t>
        </is>
      </c>
      <c r="M4" s="37" t="inlineStr">
        <is>
          <t>Escalated to Compliance (date)</t>
        </is>
      </c>
      <c r="N4" s="37" t="inlineStr">
        <is>
          <t>Sponsor Bank notified (date)</t>
        </is>
      </c>
      <c r="O4" s="38" t="inlineStr">
        <is>
          <t>Ack due</t>
        </is>
      </c>
      <c r="P4" s="37" t="inlineStr">
        <is>
          <t>Acknowledged (date)</t>
        </is>
      </c>
      <c r="Q4" s="37" t="inlineStr">
        <is>
          <t>External or legal deadline (enter if any)</t>
        </is>
      </c>
      <c r="R4" s="38" t="inlineStr">
        <is>
          <t>Resolution due</t>
        </is>
      </c>
      <c r="S4" s="37" t="inlineStr">
        <is>
          <t>Resolved (date)</t>
        </is>
      </c>
      <c r="T4" s="37" t="inlineStr">
        <is>
          <t>Outcome</t>
        </is>
      </c>
      <c r="U4" s="37" t="inlineStr">
        <is>
          <t>Refund / remediation $</t>
        </is>
      </c>
      <c r="V4" s="37" t="inlineStr">
        <is>
          <t>Root cause</t>
        </is>
      </c>
      <c r="W4" s="37" t="inlineStr">
        <is>
          <t>Issue ID (if opened)</t>
        </is>
      </c>
      <c r="X4" s="37" t="inlineStr">
        <is>
          <t>Handled by</t>
        </is>
      </c>
      <c r="Y4" s="38" t="inlineStr">
        <is>
          <t>Days open</t>
        </is>
      </c>
      <c r="Z4" s="38" t="inlineStr">
        <is>
          <t>Status</t>
        </is>
      </c>
      <c r="AA4" s="38" t="inlineStr">
        <is>
          <t>Check</t>
        </is>
      </c>
    </row>
    <row r="5" ht="39.75" customHeight="1" s="31">
      <c r="A5" s="39" t="inlineStr">
        <is>
          <t>CMP-2026-0412</t>
        </is>
      </c>
      <c r="B5" s="40" t="n">
        <v>46267</v>
      </c>
      <c r="C5" s="40" t="n">
        <v>46267</v>
      </c>
      <c r="D5" s="39" t="inlineStr">
        <is>
          <t>Chat / in-app</t>
        </is>
      </c>
      <c r="E5" s="39" t="inlineStr">
        <is>
          <t>[Acct 1]</t>
        </is>
      </c>
      <c r="F5" s="39" t="inlineStr">
        <is>
          <t>Debit card</t>
        </is>
      </c>
      <c r="G5" s="39" t="inlineStr">
        <is>
          <t>Unauthorized transaction or dispute</t>
        </is>
      </c>
      <c r="H5" s="39" t="inlineStr">
        <is>
          <t>"I didn't make this $86 purchase and I want my money back."</t>
        </is>
      </c>
      <c r="I5" s="39" t="inlineStr">
        <is>
          <t>No</t>
        </is>
      </c>
      <c r="J5" s="39" t="n"/>
      <c r="K5" s="39" t="inlineStr">
        <is>
          <t>Reg E notice of error</t>
        </is>
      </c>
      <c r="L5" s="41">
        <f>IF(B5="","",IF(OR(COUNTIF(Settings!$E$4:$E$9,D5)&gt;0,I5="Yes",J5="Yes",K5="Fair lending allegation"),"Escalated","Standard"))</f>
        <v/>
      </c>
      <c r="M5" s="40" t="n"/>
      <c r="N5" s="40" t="n"/>
      <c r="O5" s="42">
        <f>IF(B5="","",WORKDAY(B5,Settings!$B$7))</f>
        <v/>
      </c>
      <c r="P5" s="40" t="n">
        <v>46267</v>
      </c>
      <c r="Q5" s="40" t="n">
        <v>46281</v>
      </c>
      <c r="R5" s="42">
        <f>IF(B5="","",IF(Q5&lt;&gt;"",MIN(Q5,IF(L5="Escalated",B5+Settings!$B$9,WORKDAY(B5,Settings!$B$8))),IF(L5="Escalated",B5+Settings!$B$9,WORKDAY(B5,Settings!$B$8))))</f>
        <v/>
      </c>
      <c r="S5" s="40" t="n">
        <v>46276</v>
      </c>
      <c r="T5" s="39" t="inlineStr">
        <is>
          <t>Refund or credit</t>
        </is>
      </c>
      <c r="U5" s="43" t="n">
        <v>86</v>
      </c>
      <c r="V5" s="39" t="inlineStr">
        <is>
          <t>Fraud by a third party</t>
        </is>
      </c>
      <c r="W5" s="39" t="n"/>
      <c r="X5" s="39" t="inlineStr">
        <is>
          <t>[Agent 1]</t>
        </is>
      </c>
      <c r="Y5" s="41">
        <f>IF(B5="","",IF(S5&lt;&gt;"",S5,Settings!$B$4)-B5)</f>
        <v/>
      </c>
      <c r="Z5" s="41">
        <f>IF(B5="","",IF(S5&lt;&gt;"",IF(S5&gt;R5,"Closed late","Closed on time"),IF(Settings!$B$4&gt;R5,"Open: overdue","Open")))</f>
        <v/>
      </c>
      <c r="AA5" s="41">
        <f>IF(B5="","",IF(NETWORKDAYS(B5,C5)-1&gt;Settings!$B$5,"Logged late",IF(AND(L5="Escalated",M5=""),"Escalate to Compliance",IF(AND(L5="Escalated",N5=""),"Notify Sponsor Bank",IF(AND(L5="Escalated",N5&lt;&gt;"",NETWORKDAYS(B5,N5)-1&gt;Settings!$B$10),"Sponsor Bank notified late",IF(AND(K5&lt;&gt;"",K5&lt;&gt;"None",Q5=""),"Enter the legal deadline",IF(AND(S5&lt;&gt;"",OR(T5="",V5="")),"Record outcome and root cause",IF(AND(P5="",S5="",Settings!$B$4&gt;O5),"Acknowledgment overdue",""))))))))</f>
        <v/>
      </c>
    </row>
    <row r="6" ht="39.75" customHeight="1" s="31">
      <c r="A6" s="39" t="inlineStr">
        <is>
          <t>CMP-2026-0418</t>
        </is>
      </c>
      <c r="B6" s="40" t="n">
        <v>46273</v>
      </c>
      <c r="C6" s="40" t="n">
        <v>46274</v>
      </c>
      <c r="D6" s="39" t="inlineStr">
        <is>
          <t>CFPB portal</t>
        </is>
      </c>
      <c r="E6" s="39" t="inlineStr">
        <is>
          <t>[Acct 2]</t>
        </is>
      </c>
      <c r="F6" s="39" t="inlineStr">
        <is>
          <t>Deposit account</t>
        </is>
      </c>
      <c r="G6" s="39" t="inlineStr">
        <is>
          <t>Account access, holds, or closure</t>
        </is>
      </c>
      <c r="H6" s="39" t="inlineStr">
        <is>
          <t>"My account was closed with no explanation and my funds are being held."</t>
        </is>
      </c>
      <c r="I6" s="39" t="inlineStr">
        <is>
          <t>Yes</t>
        </is>
      </c>
      <c r="J6" s="39" t="n"/>
      <c r="K6" s="39" t="inlineStr">
        <is>
          <t>None</t>
        </is>
      </c>
      <c r="L6" s="41">
        <f>IF(B6="","",IF(OR(COUNTIF(Settings!$E$4:$E$9,D6)&gt;0,I6="Yes",J6="Yes",K6="Fair lending allegation"),"Escalated","Standard"))</f>
        <v/>
      </c>
      <c r="M6" s="40" t="n">
        <v>46274</v>
      </c>
      <c r="N6" s="40" t="n">
        <v>46275</v>
      </c>
      <c r="O6" s="42">
        <f>IF(B6="","",WORKDAY(B6,Settings!$B$7))</f>
        <v/>
      </c>
      <c r="P6" s="40" t="n">
        <v>46274</v>
      </c>
      <c r="Q6" s="40" t="n">
        <v>46288</v>
      </c>
      <c r="R6" s="42">
        <f>IF(B6="","",IF(Q6&lt;&gt;"",MIN(Q6,IF(L6="Escalated",B6+Settings!$B$9,WORKDAY(B6,Settings!$B$8))),IF(L6="Escalated",B6+Settings!$B$9,WORKDAY(B6,Settings!$B$8))))</f>
        <v/>
      </c>
      <c r="S6" s="40" t="n">
        <v>46286</v>
      </c>
      <c r="T6" s="39" t="inlineStr">
        <is>
          <t>Account or service change</t>
        </is>
      </c>
      <c r="U6" s="43" t="n">
        <v>0</v>
      </c>
      <c r="V6" s="39" t="inlineStr">
        <is>
          <t>Procedure gap or unclear procedure</t>
        </is>
      </c>
      <c r="W6" s="39" t="inlineStr">
        <is>
          <t>ISS-2026-024</t>
        </is>
      </c>
      <c r="X6" s="39" t="inlineStr">
        <is>
          <t>[Compliance Analyst]</t>
        </is>
      </c>
      <c r="Y6" s="41">
        <f>IF(B6="","",IF(S6&lt;&gt;"",S6,Settings!$B$4)-B6)</f>
        <v/>
      </c>
      <c r="Z6" s="41">
        <f>IF(B6="","",IF(S6&lt;&gt;"",IF(S6&gt;R6,"Closed late","Closed on time"),IF(Settings!$B$4&gt;R6,"Open: overdue","Open")))</f>
        <v/>
      </c>
      <c r="AA6" s="41">
        <f>IF(B6="","",IF(NETWORKDAYS(B6,C6)-1&gt;Settings!$B$5,"Logged late",IF(AND(L6="Escalated",M6=""),"Escalate to Compliance",IF(AND(L6="Escalated",N6=""),"Notify Sponsor Bank",IF(AND(L6="Escalated",N6&lt;&gt;"",NETWORKDAYS(B6,N6)-1&gt;Settings!$B$10),"Sponsor Bank notified late",IF(AND(K6&lt;&gt;"",K6&lt;&gt;"None",Q6=""),"Enter the legal deadline",IF(AND(S6&lt;&gt;"",OR(T6="",V6="")),"Record outcome and root cause",IF(AND(P6="",S6="",Settings!$B$4&gt;O6),"Acknowledgment overdue",""))))))))</f>
        <v/>
      </c>
    </row>
    <row r="7" ht="39.75" customHeight="1" s="31">
      <c r="A7" s="39" t="inlineStr">
        <is>
          <t>CMP-2026-0431</t>
        </is>
      </c>
      <c r="B7" s="40" t="n">
        <v>46290</v>
      </c>
      <c r="C7" s="40" t="n">
        <v>46290</v>
      </c>
      <c r="D7" s="39" t="inlineStr">
        <is>
          <t>Phone</t>
        </is>
      </c>
      <c r="E7" s="39" t="inlineStr">
        <is>
          <t>[Acct 3]</t>
        </is>
      </c>
      <c r="F7" s="39" t="inlineStr">
        <is>
          <t>Deposit account</t>
        </is>
      </c>
      <c r="G7" s="39" t="inlineStr">
        <is>
          <t>Fees and charges</t>
        </is>
      </c>
      <c r="H7" s="39" t="inlineStr">
        <is>
          <t>"Why was I charged an ATM fee? The app said ATMs were free."</t>
        </is>
      </c>
      <c r="I7" s="39" t="inlineStr">
        <is>
          <t>No</t>
        </is>
      </c>
      <c r="J7" s="39" t="n"/>
      <c r="K7" s="39" t="inlineStr">
        <is>
          <t>None</t>
        </is>
      </c>
      <c r="L7" s="41">
        <f>IF(B7="","",IF(OR(COUNTIF(Settings!$E$4:$E$9,D7)&gt;0,I7="Yes",J7="Yes",K7="Fair lending allegation"),"Escalated","Standard"))</f>
        <v/>
      </c>
      <c r="M7" s="40" t="n"/>
      <c r="N7" s="40" t="n"/>
      <c r="O7" s="42">
        <f>IF(B7="","",WORKDAY(B7,Settings!$B$7))</f>
        <v/>
      </c>
      <c r="P7" s="40" t="n"/>
      <c r="Q7" s="40" t="n"/>
      <c r="R7" s="42">
        <f>IF(B7="","",IF(Q7&lt;&gt;"",MIN(Q7,IF(L7="Escalated",B7+Settings!$B$9,WORKDAY(B7,Settings!$B$8))),IF(L7="Escalated",B7+Settings!$B$9,WORKDAY(B7,Settings!$B$8))))</f>
        <v/>
      </c>
      <c r="S7" s="40" t="n"/>
      <c r="T7" s="39" t="n"/>
      <c r="U7" s="43" t="n"/>
      <c r="V7" s="39" t="n"/>
      <c r="W7" s="39" t="n"/>
      <c r="X7" s="39" t="inlineStr">
        <is>
          <t>[Agent 2]</t>
        </is>
      </c>
      <c r="Y7" s="41">
        <f>IF(B7="","",IF(S7&lt;&gt;"",S7,Settings!$B$4)-B7)</f>
        <v/>
      </c>
      <c r="Z7" s="41">
        <f>IF(B7="","",IF(S7&lt;&gt;"",IF(S7&gt;R7,"Closed late","Closed on time"),IF(Settings!$B$4&gt;R7,"Open: overdue","Open")))</f>
        <v/>
      </c>
      <c r="AA7" s="41">
        <f>IF(B7="","",IF(NETWORKDAYS(B7,C7)-1&gt;Settings!$B$5,"Logged late",IF(AND(L7="Escalated",M7=""),"Escalate to Compliance",IF(AND(L7="Escalated",N7=""),"Notify Sponsor Bank",IF(AND(L7="Escalated",N7&lt;&gt;"",NETWORKDAYS(B7,N7)-1&gt;Settings!$B$10),"Sponsor Bank notified late",IF(AND(K7&lt;&gt;"",K7&lt;&gt;"None",Q7=""),"Enter the legal deadline",IF(AND(S7&lt;&gt;"",OR(T7="",V7="")),"Record outcome and root cause",IF(AND(P7="",S7="",Settings!$B$4&gt;O7),"Acknowledgment overdue",""))))))))</f>
        <v/>
      </c>
    </row>
    <row r="8" ht="15.75" customHeight="1" s="31">
      <c r="A8" s="44" t="n"/>
      <c r="B8" s="45" t="n"/>
      <c r="C8" s="45" t="n"/>
      <c r="D8" s="44" t="n"/>
      <c r="E8" s="44" t="n"/>
      <c r="F8" s="44" t="n"/>
      <c r="G8" s="44" t="n"/>
      <c r="H8" s="44" t="n"/>
      <c r="I8" s="44" t="n"/>
      <c r="J8" s="44" t="n"/>
      <c r="K8" s="44" t="n"/>
      <c r="L8" s="41">
        <f>IF(B8="","",IF(OR(COUNTIF(Settings!$E$4:$E$9,D8)&gt;0,I8="Yes",J8="Yes",K8="Fair lending allegation"),"Escalated","Standard"))</f>
        <v/>
      </c>
      <c r="M8" s="45" t="n"/>
      <c r="N8" s="45" t="n"/>
      <c r="O8" s="42">
        <f>IF(B8="","",WORKDAY(B8,Settings!$B$7))</f>
        <v/>
      </c>
      <c r="P8" s="45" t="n"/>
      <c r="Q8" s="45" t="n"/>
      <c r="R8" s="42">
        <f>IF(B8="","",IF(Q8&lt;&gt;"",MIN(Q8,IF(L8="Escalated",B8+Settings!$B$9,WORKDAY(B8,Settings!$B$8))),IF(L8="Escalated",B8+Settings!$B$9,WORKDAY(B8,Settings!$B$8))))</f>
        <v/>
      </c>
      <c r="S8" s="45" t="n"/>
      <c r="T8" s="44" t="n"/>
      <c r="U8" s="46" t="n"/>
      <c r="V8" s="44" t="n"/>
      <c r="W8" s="44" t="n"/>
      <c r="X8" s="44" t="n"/>
      <c r="Y8" s="41">
        <f>IF(B8="","",IF(S8&lt;&gt;"",S8,Settings!$B$4)-B8)</f>
        <v/>
      </c>
      <c r="Z8" s="41">
        <f>IF(B8="","",IF(S8&lt;&gt;"",IF(S8&gt;R8,"Closed late","Closed on time"),IF(Settings!$B$4&gt;R8,"Open: overdue","Open")))</f>
        <v/>
      </c>
      <c r="AA8" s="41">
        <f>IF(B8="","",IF(NETWORKDAYS(B8,C8)-1&gt;Settings!$B$5,"Logged late",IF(AND(L8="Escalated",M8=""),"Escalate to Compliance",IF(AND(L8="Escalated",N8=""),"Notify Sponsor Bank",IF(AND(L8="Escalated",N8&lt;&gt;"",NETWORKDAYS(B8,N8)-1&gt;Settings!$B$10),"Sponsor Bank notified late",IF(AND(K8&lt;&gt;"",K8&lt;&gt;"None",Q8=""),"Enter the legal deadline",IF(AND(S8&lt;&gt;"",OR(T8="",V8="")),"Record outcome and root cause",IF(AND(P8="",S8="",Settings!$B$4&gt;O8),"Acknowledgment overdue",""))))))))</f>
        <v/>
      </c>
    </row>
    <row r="9" ht="15.75" customHeight="1" s="31">
      <c r="A9" s="44" t="n"/>
      <c r="B9" s="45" t="n"/>
      <c r="C9" s="45" t="n"/>
      <c r="D9" s="44" t="n"/>
      <c r="E9" s="44" t="n"/>
      <c r="F9" s="44" t="n"/>
      <c r="G9" s="44" t="n"/>
      <c r="H9" s="44" t="n"/>
      <c r="I9" s="44" t="n"/>
      <c r="J9" s="44" t="n"/>
      <c r="K9" s="44" t="n"/>
      <c r="L9" s="41">
        <f>IF(B9="","",IF(OR(COUNTIF(Settings!$E$4:$E$9,D9)&gt;0,I9="Yes",J9="Yes",K9="Fair lending allegation"),"Escalated","Standard"))</f>
        <v/>
      </c>
      <c r="M9" s="45" t="n"/>
      <c r="N9" s="45" t="n"/>
      <c r="O9" s="42">
        <f>IF(B9="","",WORKDAY(B9,Settings!$B$7))</f>
        <v/>
      </c>
      <c r="P9" s="45" t="n"/>
      <c r="Q9" s="45" t="n"/>
      <c r="R9" s="42">
        <f>IF(B9="","",IF(Q9&lt;&gt;"",MIN(Q9,IF(L9="Escalated",B9+Settings!$B$9,WORKDAY(B9,Settings!$B$8))),IF(L9="Escalated",B9+Settings!$B$9,WORKDAY(B9,Settings!$B$8))))</f>
        <v/>
      </c>
      <c r="S9" s="45" t="n"/>
      <c r="T9" s="44" t="n"/>
      <c r="U9" s="46" t="n"/>
      <c r="V9" s="44" t="n"/>
      <c r="W9" s="44" t="n"/>
      <c r="X9" s="44" t="n"/>
      <c r="Y9" s="41">
        <f>IF(B9="","",IF(S9&lt;&gt;"",S9,Settings!$B$4)-B9)</f>
        <v/>
      </c>
      <c r="Z9" s="41">
        <f>IF(B9="","",IF(S9&lt;&gt;"",IF(S9&gt;R9,"Closed late","Closed on time"),IF(Settings!$B$4&gt;R9,"Open: overdue","Open")))</f>
        <v/>
      </c>
      <c r="AA9" s="41">
        <f>IF(B9="","",IF(NETWORKDAYS(B9,C9)-1&gt;Settings!$B$5,"Logged late",IF(AND(L9="Escalated",M9=""),"Escalate to Compliance",IF(AND(L9="Escalated",N9=""),"Notify Sponsor Bank",IF(AND(L9="Escalated",N9&lt;&gt;"",NETWORKDAYS(B9,N9)-1&gt;Settings!$B$10),"Sponsor Bank notified late",IF(AND(K9&lt;&gt;"",K9&lt;&gt;"None",Q9=""),"Enter the legal deadline",IF(AND(S9&lt;&gt;"",OR(T9="",V9="")),"Record outcome and root cause",IF(AND(P9="",S9="",Settings!$B$4&gt;O9),"Acknowledgment overdue",""))))))))</f>
        <v/>
      </c>
    </row>
    <row r="10" ht="15.75" customHeight="1" s="31">
      <c r="A10" s="44" t="n"/>
      <c r="B10" s="45" t="n"/>
      <c r="C10" s="45" t="n"/>
      <c r="D10" s="44" t="n"/>
      <c r="E10" s="44" t="n"/>
      <c r="F10" s="44" t="n"/>
      <c r="G10" s="44" t="n"/>
      <c r="H10" s="44" t="n"/>
      <c r="I10" s="44" t="n"/>
      <c r="J10" s="44" t="n"/>
      <c r="K10" s="44" t="n"/>
      <c r="L10" s="41">
        <f>IF(B10="","",IF(OR(COUNTIF(Settings!$E$4:$E$9,D10)&gt;0,I10="Yes",J10="Yes",K10="Fair lending allegation"),"Escalated","Standard"))</f>
        <v/>
      </c>
      <c r="M10" s="45" t="n"/>
      <c r="N10" s="45" t="n"/>
      <c r="O10" s="42">
        <f>IF(B10="","",WORKDAY(B10,Settings!$B$7))</f>
        <v/>
      </c>
      <c r="P10" s="45" t="n"/>
      <c r="Q10" s="45" t="n"/>
      <c r="R10" s="42">
        <f>IF(B10="","",IF(Q10&lt;&gt;"",MIN(Q10,IF(L10="Escalated",B10+Settings!$B$9,WORKDAY(B10,Settings!$B$8))),IF(L10="Escalated",B10+Settings!$B$9,WORKDAY(B10,Settings!$B$8))))</f>
        <v/>
      </c>
      <c r="S10" s="45" t="n"/>
      <c r="T10" s="44" t="n"/>
      <c r="U10" s="46" t="n"/>
      <c r="V10" s="44" t="n"/>
      <c r="W10" s="44" t="n"/>
      <c r="X10" s="44" t="n"/>
      <c r="Y10" s="41">
        <f>IF(B10="","",IF(S10&lt;&gt;"",S10,Settings!$B$4)-B10)</f>
        <v/>
      </c>
      <c r="Z10" s="41">
        <f>IF(B10="","",IF(S10&lt;&gt;"",IF(S10&gt;R10,"Closed late","Closed on time"),IF(Settings!$B$4&gt;R10,"Open: overdue","Open")))</f>
        <v/>
      </c>
      <c r="AA10" s="41">
        <f>IF(B10="","",IF(NETWORKDAYS(B10,C10)-1&gt;Settings!$B$5,"Logged late",IF(AND(L10="Escalated",M10=""),"Escalate to Compliance",IF(AND(L10="Escalated",N10=""),"Notify Sponsor Bank",IF(AND(L10="Escalated",N10&lt;&gt;"",NETWORKDAYS(B10,N10)-1&gt;Settings!$B$10),"Sponsor Bank notified late",IF(AND(K10&lt;&gt;"",K10&lt;&gt;"None",Q10=""),"Enter the legal deadline",IF(AND(S10&lt;&gt;"",OR(T10="",V10="")),"Record outcome and root cause",IF(AND(P10="",S10="",Settings!$B$4&gt;O10),"Acknowledgment overdue",""))))))))</f>
        <v/>
      </c>
    </row>
    <row r="11" ht="15.75" customHeight="1" s="31">
      <c r="A11" s="44" t="n"/>
      <c r="B11" s="45" t="n"/>
      <c r="C11" s="45" t="n"/>
      <c r="D11" s="44" t="n"/>
      <c r="E11" s="44" t="n"/>
      <c r="F11" s="44" t="n"/>
      <c r="G11" s="44" t="n"/>
      <c r="H11" s="44" t="n"/>
      <c r="I11" s="44" t="n"/>
      <c r="J11" s="44" t="n"/>
      <c r="K11" s="44" t="n"/>
      <c r="L11" s="41">
        <f>IF(B11="","",IF(OR(COUNTIF(Settings!$E$4:$E$9,D11)&gt;0,I11="Yes",J11="Yes",K11="Fair lending allegation"),"Escalated","Standard"))</f>
        <v/>
      </c>
      <c r="M11" s="45" t="n"/>
      <c r="N11" s="45" t="n"/>
      <c r="O11" s="42">
        <f>IF(B11="","",WORKDAY(B11,Settings!$B$7))</f>
        <v/>
      </c>
      <c r="P11" s="45" t="n"/>
      <c r="Q11" s="45" t="n"/>
      <c r="R11" s="42">
        <f>IF(B11="","",IF(Q11&lt;&gt;"",MIN(Q11,IF(L11="Escalated",B11+Settings!$B$9,WORKDAY(B11,Settings!$B$8))),IF(L11="Escalated",B11+Settings!$B$9,WORKDAY(B11,Settings!$B$8))))</f>
        <v/>
      </c>
      <c r="S11" s="45" t="n"/>
      <c r="T11" s="44" t="n"/>
      <c r="U11" s="46" t="n"/>
      <c r="V11" s="44" t="n"/>
      <c r="W11" s="44" t="n"/>
      <c r="X11" s="44" t="n"/>
      <c r="Y11" s="41">
        <f>IF(B11="","",IF(S11&lt;&gt;"",S11,Settings!$B$4)-B11)</f>
        <v/>
      </c>
      <c r="Z11" s="41">
        <f>IF(B11="","",IF(S11&lt;&gt;"",IF(S11&gt;R11,"Closed late","Closed on time"),IF(Settings!$B$4&gt;R11,"Open: overdue","Open")))</f>
        <v/>
      </c>
      <c r="AA11" s="41">
        <f>IF(B11="","",IF(NETWORKDAYS(B11,C11)-1&gt;Settings!$B$5,"Logged late",IF(AND(L11="Escalated",M11=""),"Escalate to Compliance",IF(AND(L11="Escalated",N11=""),"Notify Sponsor Bank",IF(AND(L11="Escalated",N11&lt;&gt;"",NETWORKDAYS(B11,N11)-1&gt;Settings!$B$10),"Sponsor Bank notified late",IF(AND(K11&lt;&gt;"",K11&lt;&gt;"None",Q11=""),"Enter the legal deadline",IF(AND(S11&lt;&gt;"",OR(T11="",V11="")),"Record outcome and root cause",IF(AND(P11="",S11="",Settings!$B$4&gt;O11),"Acknowledgment overdue",""))))))))</f>
        <v/>
      </c>
    </row>
    <row r="12" ht="15.75" customHeight="1" s="31">
      <c r="A12" s="44" t="n"/>
      <c r="B12" s="45" t="n"/>
      <c r="C12" s="45" t="n"/>
      <c r="D12" s="44" t="n"/>
      <c r="E12" s="44" t="n"/>
      <c r="F12" s="44" t="n"/>
      <c r="G12" s="44" t="n"/>
      <c r="H12" s="44" t="n"/>
      <c r="I12" s="44" t="n"/>
      <c r="J12" s="44" t="n"/>
      <c r="K12" s="44" t="n"/>
      <c r="L12" s="41">
        <f>IF(B12="","",IF(OR(COUNTIF(Settings!$E$4:$E$9,D12)&gt;0,I12="Yes",J12="Yes",K12="Fair lending allegation"),"Escalated","Standard"))</f>
        <v/>
      </c>
      <c r="M12" s="45" t="n"/>
      <c r="N12" s="45" t="n"/>
      <c r="O12" s="42">
        <f>IF(B12="","",WORKDAY(B12,Settings!$B$7))</f>
        <v/>
      </c>
      <c r="P12" s="45" t="n"/>
      <c r="Q12" s="45" t="n"/>
      <c r="R12" s="42">
        <f>IF(B12="","",IF(Q12&lt;&gt;"",MIN(Q12,IF(L12="Escalated",B12+Settings!$B$9,WORKDAY(B12,Settings!$B$8))),IF(L12="Escalated",B12+Settings!$B$9,WORKDAY(B12,Settings!$B$8))))</f>
        <v/>
      </c>
      <c r="S12" s="45" t="n"/>
      <c r="T12" s="44" t="n"/>
      <c r="U12" s="46" t="n"/>
      <c r="V12" s="44" t="n"/>
      <c r="W12" s="44" t="n"/>
      <c r="X12" s="44" t="n"/>
      <c r="Y12" s="41">
        <f>IF(B12="","",IF(S12&lt;&gt;"",S12,Settings!$B$4)-B12)</f>
        <v/>
      </c>
      <c r="Z12" s="41">
        <f>IF(B12="","",IF(S12&lt;&gt;"",IF(S12&gt;R12,"Closed late","Closed on time"),IF(Settings!$B$4&gt;R12,"Open: overdue","Open")))</f>
        <v/>
      </c>
      <c r="AA12" s="41">
        <f>IF(B12="","",IF(NETWORKDAYS(B12,C12)-1&gt;Settings!$B$5,"Logged late",IF(AND(L12="Escalated",M12=""),"Escalate to Compliance",IF(AND(L12="Escalated",N12=""),"Notify Sponsor Bank",IF(AND(L12="Escalated",N12&lt;&gt;"",NETWORKDAYS(B12,N12)-1&gt;Settings!$B$10),"Sponsor Bank notified late",IF(AND(K12&lt;&gt;"",K12&lt;&gt;"None",Q12=""),"Enter the legal deadline",IF(AND(S12&lt;&gt;"",OR(T12="",V12="")),"Record outcome and root cause",IF(AND(P12="",S12="",Settings!$B$4&gt;O12),"Acknowledgment overdue",""))))))))</f>
        <v/>
      </c>
    </row>
    <row r="13" ht="15.75" customHeight="1" s="31">
      <c r="A13" s="44" t="n"/>
      <c r="B13" s="45" t="n"/>
      <c r="C13" s="45" t="n"/>
      <c r="D13" s="44" t="n"/>
      <c r="E13" s="44" t="n"/>
      <c r="F13" s="44" t="n"/>
      <c r="G13" s="44" t="n"/>
      <c r="H13" s="44" t="n"/>
      <c r="I13" s="44" t="n"/>
      <c r="J13" s="44" t="n"/>
      <c r="K13" s="44" t="n"/>
      <c r="L13" s="41">
        <f>IF(B13="","",IF(OR(COUNTIF(Settings!$E$4:$E$9,D13)&gt;0,I13="Yes",J13="Yes",K13="Fair lending allegation"),"Escalated","Standard"))</f>
        <v/>
      </c>
      <c r="M13" s="45" t="n"/>
      <c r="N13" s="45" t="n"/>
      <c r="O13" s="42">
        <f>IF(B13="","",WORKDAY(B13,Settings!$B$7))</f>
        <v/>
      </c>
      <c r="P13" s="45" t="n"/>
      <c r="Q13" s="45" t="n"/>
      <c r="R13" s="42">
        <f>IF(B13="","",IF(Q13&lt;&gt;"",MIN(Q13,IF(L13="Escalated",B13+Settings!$B$9,WORKDAY(B13,Settings!$B$8))),IF(L13="Escalated",B13+Settings!$B$9,WORKDAY(B13,Settings!$B$8))))</f>
        <v/>
      </c>
      <c r="S13" s="45" t="n"/>
      <c r="T13" s="44" t="n"/>
      <c r="U13" s="46" t="n"/>
      <c r="V13" s="44" t="n"/>
      <c r="W13" s="44" t="n"/>
      <c r="X13" s="44" t="n"/>
      <c r="Y13" s="41">
        <f>IF(B13="","",IF(S13&lt;&gt;"",S13,Settings!$B$4)-B13)</f>
        <v/>
      </c>
      <c r="Z13" s="41">
        <f>IF(B13="","",IF(S13&lt;&gt;"",IF(S13&gt;R13,"Closed late","Closed on time"),IF(Settings!$B$4&gt;R13,"Open: overdue","Open")))</f>
        <v/>
      </c>
      <c r="AA13" s="41">
        <f>IF(B13="","",IF(NETWORKDAYS(B13,C13)-1&gt;Settings!$B$5,"Logged late",IF(AND(L13="Escalated",M13=""),"Escalate to Compliance",IF(AND(L13="Escalated",N13=""),"Notify Sponsor Bank",IF(AND(L13="Escalated",N13&lt;&gt;"",NETWORKDAYS(B13,N13)-1&gt;Settings!$B$10),"Sponsor Bank notified late",IF(AND(K13&lt;&gt;"",K13&lt;&gt;"None",Q13=""),"Enter the legal deadline",IF(AND(S13&lt;&gt;"",OR(T13="",V13="")),"Record outcome and root cause",IF(AND(P13="",S13="",Settings!$B$4&gt;O13),"Acknowledgment overdue",""))))))))</f>
        <v/>
      </c>
    </row>
    <row r="14" ht="15.75" customHeight="1" s="31">
      <c r="A14" s="44" t="n"/>
      <c r="B14" s="45" t="n"/>
      <c r="C14" s="45" t="n"/>
      <c r="D14" s="44" t="n"/>
      <c r="E14" s="44" t="n"/>
      <c r="F14" s="44" t="n"/>
      <c r="G14" s="44" t="n"/>
      <c r="H14" s="44" t="n"/>
      <c r="I14" s="44" t="n"/>
      <c r="J14" s="44" t="n"/>
      <c r="K14" s="44" t="n"/>
      <c r="L14" s="41">
        <f>IF(B14="","",IF(OR(COUNTIF(Settings!$E$4:$E$9,D14)&gt;0,I14="Yes",J14="Yes",K14="Fair lending allegation"),"Escalated","Standard"))</f>
        <v/>
      </c>
      <c r="M14" s="45" t="n"/>
      <c r="N14" s="45" t="n"/>
      <c r="O14" s="42">
        <f>IF(B14="","",WORKDAY(B14,Settings!$B$7))</f>
        <v/>
      </c>
      <c r="P14" s="45" t="n"/>
      <c r="Q14" s="45" t="n"/>
      <c r="R14" s="42">
        <f>IF(B14="","",IF(Q14&lt;&gt;"",MIN(Q14,IF(L14="Escalated",B14+Settings!$B$9,WORKDAY(B14,Settings!$B$8))),IF(L14="Escalated",B14+Settings!$B$9,WORKDAY(B14,Settings!$B$8))))</f>
        <v/>
      </c>
      <c r="S14" s="45" t="n"/>
      <c r="T14" s="44" t="n"/>
      <c r="U14" s="46" t="n"/>
      <c r="V14" s="44" t="n"/>
      <c r="W14" s="44" t="n"/>
      <c r="X14" s="44" t="n"/>
      <c r="Y14" s="41">
        <f>IF(B14="","",IF(S14&lt;&gt;"",S14,Settings!$B$4)-B14)</f>
        <v/>
      </c>
      <c r="Z14" s="41">
        <f>IF(B14="","",IF(S14&lt;&gt;"",IF(S14&gt;R14,"Closed late","Closed on time"),IF(Settings!$B$4&gt;R14,"Open: overdue","Open")))</f>
        <v/>
      </c>
      <c r="AA14" s="41">
        <f>IF(B14="","",IF(NETWORKDAYS(B14,C14)-1&gt;Settings!$B$5,"Logged late",IF(AND(L14="Escalated",M14=""),"Escalate to Compliance",IF(AND(L14="Escalated",N14=""),"Notify Sponsor Bank",IF(AND(L14="Escalated",N14&lt;&gt;"",NETWORKDAYS(B14,N14)-1&gt;Settings!$B$10),"Sponsor Bank notified late",IF(AND(K14&lt;&gt;"",K14&lt;&gt;"None",Q14=""),"Enter the legal deadline",IF(AND(S14&lt;&gt;"",OR(T14="",V14="")),"Record outcome and root cause",IF(AND(P14="",S14="",Settings!$B$4&gt;O14),"Acknowledgment overdue",""))))))))</f>
        <v/>
      </c>
    </row>
    <row r="15" ht="15.75" customHeight="1" s="31">
      <c r="A15" s="44" t="n"/>
      <c r="B15" s="45" t="n"/>
      <c r="C15" s="45" t="n"/>
      <c r="D15" s="44" t="n"/>
      <c r="E15" s="44" t="n"/>
      <c r="F15" s="44" t="n"/>
      <c r="G15" s="44" t="n"/>
      <c r="H15" s="44" t="n"/>
      <c r="I15" s="44" t="n"/>
      <c r="J15" s="44" t="n"/>
      <c r="K15" s="44" t="n"/>
      <c r="L15" s="41">
        <f>IF(B15="","",IF(OR(COUNTIF(Settings!$E$4:$E$9,D15)&gt;0,I15="Yes",J15="Yes",K15="Fair lending allegation"),"Escalated","Standard"))</f>
        <v/>
      </c>
      <c r="M15" s="45" t="n"/>
      <c r="N15" s="45" t="n"/>
      <c r="O15" s="42">
        <f>IF(B15="","",WORKDAY(B15,Settings!$B$7))</f>
        <v/>
      </c>
      <c r="P15" s="45" t="n"/>
      <c r="Q15" s="45" t="n"/>
      <c r="R15" s="42">
        <f>IF(B15="","",IF(Q15&lt;&gt;"",MIN(Q15,IF(L15="Escalated",B15+Settings!$B$9,WORKDAY(B15,Settings!$B$8))),IF(L15="Escalated",B15+Settings!$B$9,WORKDAY(B15,Settings!$B$8))))</f>
        <v/>
      </c>
      <c r="S15" s="45" t="n"/>
      <c r="T15" s="44" t="n"/>
      <c r="U15" s="46" t="n"/>
      <c r="V15" s="44" t="n"/>
      <c r="W15" s="44" t="n"/>
      <c r="X15" s="44" t="n"/>
      <c r="Y15" s="41">
        <f>IF(B15="","",IF(S15&lt;&gt;"",S15,Settings!$B$4)-B15)</f>
        <v/>
      </c>
      <c r="Z15" s="41">
        <f>IF(B15="","",IF(S15&lt;&gt;"",IF(S15&gt;R15,"Closed late","Closed on time"),IF(Settings!$B$4&gt;R15,"Open: overdue","Open")))</f>
        <v/>
      </c>
      <c r="AA15" s="41">
        <f>IF(B15="","",IF(NETWORKDAYS(B15,C15)-1&gt;Settings!$B$5,"Logged late",IF(AND(L15="Escalated",M15=""),"Escalate to Compliance",IF(AND(L15="Escalated",N15=""),"Notify Sponsor Bank",IF(AND(L15="Escalated",N15&lt;&gt;"",NETWORKDAYS(B15,N15)-1&gt;Settings!$B$10),"Sponsor Bank notified late",IF(AND(K15&lt;&gt;"",K15&lt;&gt;"None",Q15=""),"Enter the legal deadline",IF(AND(S15&lt;&gt;"",OR(T15="",V15="")),"Record outcome and root cause",IF(AND(P15="",S15="",Settings!$B$4&gt;O15),"Acknowledgment overdue",""))))))))</f>
        <v/>
      </c>
    </row>
    <row r="16" ht="15.75" customHeight="1" s="31">
      <c r="A16" s="44" t="n"/>
      <c r="B16" s="45" t="n"/>
      <c r="C16" s="45" t="n"/>
      <c r="D16" s="44" t="n"/>
      <c r="E16" s="44" t="n"/>
      <c r="F16" s="44" t="n"/>
      <c r="G16" s="44" t="n"/>
      <c r="H16" s="44" t="n"/>
      <c r="I16" s="44" t="n"/>
      <c r="J16" s="44" t="n"/>
      <c r="K16" s="44" t="n"/>
      <c r="L16" s="41">
        <f>IF(B16="","",IF(OR(COUNTIF(Settings!$E$4:$E$9,D16)&gt;0,I16="Yes",J16="Yes",K16="Fair lending allegation"),"Escalated","Standard"))</f>
        <v/>
      </c>
      <c r="M16" s="45" t="n"/>
      <c r="N16" s="45" t="n"/>
      <c r="O16" s="42">
        <f>IF(B16="","",WORKDAY(B16,Settings!$B$7))</f>
        <v/>
      </c>
      <c r="P16" s="45" t="n"/>
      <c r="Q16" s="45" t="n"/>
      <c r="R16" s="42">
        <f>IF(B16="","",IF(Q16&lt;&gt;"",MIN(Q16,IF(L16="Escalated",B16+Settings!$B$9,WORKDAY(B16,Settings!$B$8))),IF(L16="Escalated",B16+Settings!$B$9,WORKDAY(B16,Settings!$B$8))))</f>
        <v/>
      </c>
      <c r="S16" s="45" t="n"/>
      <c r="T16" s="44" t="n"/>
      <c r="U16" s="46" t="n"/>
      <c r="V16" s="44" t="n"/>
      <c r="W16" s="44" t="n"/>
      <c r="X16" s="44" t="n"/>
      <c r="Y16" s="41">
        <f>IF(B16="","",IF(S16&lt;&gt;"",S16,Settings!$B$4)-B16)</f>
        <v/>
      </c>
      <c r="Z16" s="41">
        <f>IF(B16="","",IF(S16&lt;&gt;"",IF(S16&gt;R16,"Closed late","Closed on time"),IF(Settings!$B$4&gt;R16,"Open: overdue","Open")))</f>
        <v/>
      </c>
      <c r="AA16" s="41">
        <f>IF(B16="","",IF(NETWORKDAYS(B16,C16)-1&gt;Settings!$B$5,"Logged late",IF(AND(L16="Escalated",M16=""),"Escalate to Compliance",IF(AND(L16="Escalated",N16=""),"Notify Sponsor Bank",IF(AND(L16="Escalated",N16&lt;&gt;"",NETWORKDAYS(B16,N16)-1&gt;Settings!$B$10),"Sponsor Bank notified late",IF(AND(K16&lt;&gt;"",K16&lt;&gt;"None",Q16=""),"Enter the legal deadline",IF(AND(S16&lt;&gt;"",OR(T16="",V16="")),"Record outcome and root cause",IF(AND(P16="",S16="",Settings!$B$4&gt;O16),"Acknowledgment overdue",""))))))))</f>
        <v/>
      </c>
    </row>
    <row r="17" ht="15.75" customHeight="1" s="31">
      <c r="A17" s="44" t="n"/>
      <c r="B17" s="45" t="n"/>
      <c r="C17" s="45" t="n"/>
      <c r="D17" s="44" t="n"/>
      <c r="E17" s="44" t="n"/>
      <c r="F17" s="44" t="n"/>
      <c r="G17" s="44" t="n"/>
      <c r="H17" s="44" t="n"/>
      <c r="I17" s="44" t="n"/>
      <c r="J17" s="44" t="n"/>
      <c r="K17" s="44" t="n"/>
      <c r="L17" s="41">
        <f>IF(B17="","",IF(OR(COUNTIF(Settings!$E$4:$E$9,D17)&gt;0,I17="Yes",J17="Yes",K17="Fair lending allegation"),"Escalated","Standard"))</f>
        <v/>
      </c>
      <c r="M17" s="45" t="n"/>
      <c r="N17" s="45" t="n"/>
      <c r="O17" s="42">
        <f>IF(B17="","",WORKDAY(B17,Settings!$B$7))</f>
        <v/>
      </c>
      <c r="P17" s="45" t="n"/>
      <c r="Q17" s="45" t="n"/>
      <c r="R17" s="42">
        <f>IF(B17="","",IF(Q17&lt;&gt;"",MIN(Q17,IF(L17="Escalated",B17+Settings!$B$9,WORKDAY(B17,Settings!$B$8))),IF(L17="Escalated",B17+Settings!$B$9,WORKDAY(B17,Settings!$B$8))))</f>
        <v/>
      </c>
      <c r="S17" s="45" t="n"/>
      <c r="T17" s="44" t="n"/>
      <c r="U17" s="46" t="n"/>
      <c r="V17" s="44" t="n"/>
      <c r="W17" s="44" t="n"/>
      <c r="X17" s="44" t="n"/>
      <c r="Y17" s="41">
        <f>IF(B17="","",IF(S17&lt;&gt;"",S17,Settings!$B$4)-B17)</f>
        <v/>
      </c>
      <c r="Z17" s="41">
        <f>IF(B17="","",IF(S17&lt;&gt;"",IF(S17&gt;R17,"Closed late","Closed on time"),IF(Settings!$B$4&gt;R17,"Open: overdue","Open")))</f>
        <v/>
      </c>
      <c r="AA17" s="41">
        <f>IF(B17="","",IF(NETWORKDAYS(B17,C17)-1&gt;Settings!$B$5,"Logged late",IF(AND(L17="Escalated",M17=""),"Escalate to Compliance",IF(AND(L17="Escalated",N17=""),"Notify Sponsor Bank",IF(AND(L17="Escalated",N17&lt;&gt;"",NETWORKDAYS(B17,N17)-1&gt;Settings!$B$10),"Sponsor Bank notified late",IF(AND(K17&lt;&gt;"",K17&lt;&gt;"None",Q17=""),"Enter the legal deadline",IF(AND(S17&lt;&gt;"",OR(T17="",V17="")),"Record outcome and root cause",IF(AND(P17="",S17="",Settings!$B$4&gt;O17),"Acknowledgment overdue",""))))))))</f>
        <v/>
      </c>
    </row>
    <row r="18" ht="15.75" customHeight="1" s="31">
      <c r="A18" s="44" t="n"/>
      <c r="B18" s="45" t="n"/>
      <c r="C18" s="45" t="n"/>
      <c r="D18" s="44" t="n"/>
      <c r="E18" s="44" t="n"/>
      <c r="F18" s="44" t="n"/>
      <c r="G18" s="44" t="n"/>
      <c r="H18" s="44" t="n"/>
      <c r="I18" s="44" t="n"/>
      <c r="J18" s="44" t="n"/>
      <c r="K18" s="44" t="n"/>
      <c r="L18" s="41">
        <f>IF(B18="","",IF(OR(COUNTIF(Settings!$E$4:$E$9,D18)&gt;0,I18="Yes",J18="Yes",K18="Fair lending allegation"),"Escalated","Standard"))</f>
        <v/>
      </c>
      <c r="M18" s="45" t="n"/>
      <c r="N18" s="45" t="n"/>
      <c r="O18" s="42">
        <f>IF(B18="","",WORKDAY(B18,Settings!$B$7))</f>
        <v/>
      </c>
      <c r="P18" s="45" t="n"/>
      <c r="Q18" s="45" t="n"/>
      <c r="R18" s="42">
        <f>IF(B18="","",IF(Q18&lt;&gt;"",MIN(Q18,IF(L18="Escalated",B18+Settings!$B$9,WORKDAY(B18,Settings!$B$8))),IF(L18="Escalated",B18+Settings!$B$9,WORKDAY(B18,Settings!$B$8))))</f>
        <v/>
      </c>
      <c r="S18" s="45" t="n"/>
      <c r="T18" s="44" t="n"/>
      <c r="U18" s="46" t="n"/>
      <c r="V18" s="44" t="n"/>
      <c r="W18" s="44" t="n"/>
      <c r="X18" s="44" t="n"/>
      <c r="Y18" s="41">
        <f>IF(B18="","",IF(S18&lt;&gt;"",S18,Settings!$B$4)-B18)</f>
        <v/>
      </c>
      <c r="Z18" s="41">
        <f>IF(B18="","",IF(S18&lt;&gt;"",IF(S18&gt;R18,"Closed late","Closed on time"),IF(Settings!$B$4&gt;R18,"Open: overdue","Open")))</f>
        <v/>
      </c>
      <c r="AA18" s="41">
        <f>IF(B18="","",IF(NETWORKDAYS(B18,C18)-1&gt;Settings!$B$5,"Logged late",IF(AND(L18="Escalated",M18=""),"Escalate to Compliance",IF(AND(L18="Escalated",N18=""),"Notify Sponsor Bank",IF(AND(L18="Escalated",N18&lt;&gt;"",NETWORKDAYS(B18,N18)-1&gt;Settings!$B$10),"Sponsor Bank notified late",IF(AND(K18&lt;&gt;"",K18&lt;&gt;"None",Q18=""),"Enter the legal deadline",IF(AND(S18&lt;&gt;"",OR(T18="",V18="")),"Record outcome and root cause",IF(AND(P18="",S18="",Settings!$B$4&gt;O18),"Acknowledgment overdue",""))))))))</f>
        <v/>
      </c>
    </row>
    <row r="19" ht="15.75" customHeight="1" s="31">
      <c r="A19" s="44" t="n"/>
      <c r="B19" s="45" t="n"/>
      <c r="C19" s="45" t="n"/>
      <c r="D19" s="44" t="n"/>
      <c r="E19" s="44" t="n"/>
      <c r="F19" s="44" t="n"/>
      <c r="G19" s="44" t="n"/>
      <c r="H19" s="44" t="n"/>
      <c r="I19" s="44" t="n"/>
      <c r="J19" s="44" t="n"/>
      <c r="K19" s="44" t="n"/>
      <c r="L19" s="41">
        <f>IF(B19="","",IF(OR(COUNTIF(Settings!$E$4:$E$9,D19)&gt;0,I19="Yes",J19="Yes",K19="Fair lending allegation"),"Escalated","Standard"))</f>
        <v/>
      </c>
      <c r="M19" s="45" t="n"/>
      <c r="N19" s="45" t="n"/>
      <c r="O19" s="42">
        <f>IF(B19="","",WORKDAY(B19,Settings!$B$7))</f>
        <v/>
      </c>
      <c r="P19" s="45" t="n"/>
      <c r="Q19" s="45" t="n"/>
      <c r="R19" s="42">
        <f>IF(B19="","",IF(Q19&lt;&gt;"",MIN(Q19,IF(L19="Escalated",B19+Settings!$B$9,WORKDAY(B19,Settings!$B$8))),IF(L19="Escalated",B19+Settings!$B$9,WORKDAY(B19,Settings!$B$8))))</f>
        <v/>
      </c>
      <c r="S19" s="45" t="n"/>
      <c r="T19" s="44" t="n"/>
      <c r="U19" s="46" t="n"/>
      <c r="V19" s="44" t="n"/>
      <c r="W19" s="44" t="n"/>
      <c r="X19" s="44" t="n"/>
      <c r="Y19" s="41">
        <f>IF(B19="","",IF(S19&lt;&gt;"",S19,Settings!$B$4)-B19)</f>
        <v/>
      </c>
      <c r="Z19" s="41">
        <f>IF(B19="","",IF(S19&lt;&gt;"",IF(S19&gt;R19,"Closed late","Closed on time"),IF(Settings!$B$4&gt;R19,"Open: overdue","Open")))</f>
        <v/>
      </c>
      <c r="AA19" s="41">
        <f>IF(B19="","",IF(NETWORKDAYS(B19,C19)-1&gt;Settings!$B$5,"Logged late",IF(AND(L19="Escalated",M19=""),"Escalate to Compliance",IF(AND(L19="Escalated",N19=""),"Notify Sponsor Bank",IF(AND(L19="Escalated",N19&lt;&gt;"",NETWORKDAYS(B19,N19)-1&gt;Settings!$B$10),"Sponsor Bank notified late",IF(AND(K19&lt;&gt;"",K19&lt;&gt;"None",Q19=""),"Enter the legal deadline",IF(AND(S19&lt;&gt;"",OR(T19="",V19="")),"Record outcome and root cause",IF(AND(P19="",S19="",Settings!$B$4&gt;O19),"Acknowledgment overdue",""))))))))</f>
        <v/>
      </c>
    </row>
    <row r="20" ht="15.75" customHeight="1" s="31">
      <c r="A20" s="44" t="n"/>
      <c r="B20" s="45" t="n"/>
      <c r="C20" s="45" t="n"/>
      <c r="D20" s="44" t="n"/>
      <c r="E20" s="44" t="n"/>
      <c r="F20" s="44" t="n"/>
      <c r="G20" s="44" t="n"/>
      <c r="H20" s="44" t="n"/>
      <c r="I20" s="44" t="n"/>
      <c r="J20" s="44" t="n"/>
      <c r="K20" s="44" t="n"/>
      <c r="L20" s="41">
        <f>IF(B20="","",IF(OR(COUNTIF(Settings!$E$4:$E$9,D20)&gt;0,I20="Yes",J20="Yes",K20="Fair lending allegation"),"Escalated","Standard"))</f>
        <v/>
      </c>
      <c r="M20" s="45" t="n"/>
      <c r="N20" s="45" t="n"/>
      <c r="O20" s="42">
        <f>IF(B20="","",WORKDAY(B20,Settings!$B$7))</f>
        <v/>
      </c>
      <c r="P20" s="45" t="n"/>
      <c r="Q20" s="45" t="n"/>
      <c r="R20" s="42">
        <f>IF(B20="","",IF(Q20&lt;&gt;"",MIN(Q20,IF(L20="Escalated",B20+Settings!$B$9,WORKDAY(B20,Settings!$B$8))),IF(L20="Escalated",B20+Settings!$B$9,WORKDAY(B20,Settings!$B$8))))</f>
        <v/>
      </c>
      <c r="S20" s="45" t="n"/>
      <c r="T20" s="44" t="n"/>
      <c r="U20" s="46" t="n"/>
      <c r="V20" s="44" t="n"/>
      <c r="W20" s="44" t="n"/>
      <c r="X20" s="44" t="n"/>
      <c r="Y20" s="41">
        <f>IF(B20="","",IF(S20&lt;&gt;"",S20,Settings!$B$4)-B20)</f>
        <v/>
      </c>
      <c r="Z20" s="41">
        <f>IF(B20="","",IF(S20&lt;&gt;"",IF(S20&gt;R20,"Closed late","Closed on time"),IF(Settings!$B$4&gt;R20,"Open: overdue","Open")))</f>
        <v/>
      </c>
      <c r="AA20" s="41">
        <f>IF(B20="","",IF(NETWORKDAYS(B20,C20)-1&gt;Settings!$B$5,"Logged late",IF(AND(L20="Escalated",M20=""),"Escalate to Compliance",IF(AND(L20="Escalated",N20=""),"Notify Sponsor Bank",IF(AND(L20="Escalated",N20&lt;&gt;"",NETWORKDAYS(B20,N20)-1&gt;Settings!$B$10),"Sponsor Bank notified late",IF(AND(K20&lt;&gt;"",K20&lt;&gt;"None",Q20=""),"Enter the legal deadline",IF(AND(S20&lt;&gt;"",OR(T20="",V20="")),"Record outcome and root cause",IF(AND(P20="",S20="",Settings!$B$4&gt;O20),"Acknowledgment overdue",""))))))))</f>
        <v/>
      </c>
    </row>
    <row r="21" ht="15.75" customHeight="1" s="31">
      <c r="A21" s="44" t="n"/>
      <c r="B21" s="45" t="n"/>
      <c r="C21" s="45" t="n"/>
      <c r="D21" s="44" t="n"/>
      <c r="E21" s="44" t="n"/>
      <c r="F21" s="44" t="n"/>
      <c r="G21" s="44" t="n"/>
      <c r="H21" s="44" t="n"/>
      <c r="I21" s="44" t="n"/>
      <c r="J21" s="44" t="n"/>
      <c r="K21" s="44" t="n"/>
      <c r="L21" s="41">
        <f>IF(B21="","",IF(OR(COUNTIF(Settings!$E$4:$E$9,D21)&gt;0,I21="Yes",J21="Yes",K21="Fair lending allegation"),"Escalated","Standard"))</f>
        <v/>
      </c>
      <c r="M21" s="45" t="n"/>
      <c r="N21" s="45" t="n"/>
      <c r="O21" s="42">
        <f>IF(B21="","",WORKDAY(B21,Settings!$B$7))</f>
        <v/>
      </c>
      <c r="P21" s="45" t="n"/>
      <c r="Q21" s="45" t="n"/>
      <c r="R21" s="42">
        <f>IF(B21="","",IF(Q21&lt;&gt;"",MIN(Q21,IF(L21="Escalated",B21+Settings!$B$9,WORKDAY(B21,Settings!$B$8))),IF(L21="Escalated",B21+Settings!$B$9,WORKDAY(B21,Settings!$B$8))))</f>
        <v/>
      </c>
      <c r="S21" s="45" t="n"/>
      <c r="T21" s="44" t="n"/>
      <c r="U21" s="46" t="n"/>
      <c r="V21" s="44" t="n"/>
      <c r="W21" s="44" t="n"/>
      <c r="X21" s="44" t="n"/>
      <c r="Y21" s="41">
        <f>IF(B21="","",IF(S21&lt;&gt;"",S21,Settings!$B$4)-B21)</f>
        <v/>
      </c>
      <c r="Z21" s="41">
        <f>IF(B21="","",IF(S21&lt;&gt;"",IF(S21&gt;R21,"Closed late","Closed on time"),IF(Settings!$B$4&gt;R21,"Open: overdue","Open")))</f>
        <v/>
      </c>
      <c r="AA21" s="41">
        <f>IF(B21="","",IF(NETWORKDAYS(B21,C21)-1&gt;Settings!$B$5,"Logged late",IF(AND(L21="Escalated",M21=""),"Escalate to Compliance",IF(AND(L21="Escalated",N21=""),"Notify Sponsor Bank",IF(AND(L21="Escalated",N21&lt;&gt;"",NETWORKDAYS(B21,N21)-1&gt;Settings!$B$10),"Sponsor Bank notified late",IF(AND(K21&lt;&gt;"",K21&lt;&gt;"None",Q21=""),"Enter the legal deadline",IF(AND(S21&lt;&gt;"",OR(T21="",V21="")),"Record outcome and root cause",IF(AND(P21="",S21="",Settings!$B$4&gt;O21),"Acknowledgment overdue",""))))))))</f>
        <v/>
      </c>
    </row>
    <row r="22" ht="15.75" customHeight="1" s="31">
      <c r="A22" s="44" t="n"/>
      <c r="B22" s="45" t="n"/>
      <c r="C22" s="45" t="n"/>
      <c r="D22" s="44" t="n"/>
      <c r="E22" s="44" t="n"/>
      <c r="F22" s="44" t="n"/>
      <c r="G22" s="44" t="n"/>
      <c r="H22" s="44" t="n"/>
      <c r="I22" s="44" t="n"/>
      <c r="J22" s="44" t="n"/>
      <c r="K22" s="44" t="n"/>
      <c r="L22" s="41">
        <f>IF(B22="","",IF(OR(COUNTIF(Settings!$E$4:$E$9,D22)&gt;0,I22="Yes",J22="Yes",K22="Fair lending allegation"),"Escalated","Standard"))</f>
        <v/>
      </c>
      <c r="M22" s="45" t="n"/>
      <c r="N22" s="45" t="n"/>
      <c r="O22" s="42">
        <f>IF(B22="","",WORKDAY(B22,Settings!$B$7))</f>
        <v/>
      </c>
      <c r="P22" s="45" t="n"/>
      <c r="Q22" s="45" t="n"/>
      <c r="R22" s="42">
        <f>IF(B22="","",IF(Q22&lt;&gt;"",MIN(Q22,IF(L22="Escalated",B22+Settings!$B$9,WORKDAY(B22,Settings!$B$8))),IF(L22="Escalated",B22+Settings!$B$9,WORKDAY(B22,Settings!$B$8))))</f>
        <v/>
      </c>
      <c r="S22" s="45" t="n"/>
      <c r="T22" s="44" t="n"/>
      <c r="U22" s="46" t="n"/>
      <c r="V22" s="44" t="n"/>
      <c r="W22" s="44" t="n"/>
      <c r="X22" s="44" t="n"/>
      <c r="Y22" s="41">
        <f>IF(B22="","",IF(S22&lt;&gt;"",S22,Settings!$B$4)-B22)</f>
        <v/>
      </c>
      <c r="Z22" s="41">
        <f>IF(B22="","",IF(S22&lt;&gt;"",IF(S22&gt;R22,"Closed late","Closed on time"),IF(Settings!$B$4&gt;R22,"Open: overdue","Open")))</f>
        <v/>
      </c>
      <c r="AA22" s="41">
        <f>IF(B22="","",IF(NETWORKDAYS(B22,C22)-1&gt;Settings!$B$5,"Logged late",IF(AND(L22="Escalated",M22=""),"Escalate to Compliance",IF(AND(L22="Escalated",N22=""),"Notify Sponsor Bank",IF(AND(L22="Escalated",N22&lt;&gt;"",NETWORKDAYS(B22,N22)-1&gt;Settings!$B$10),"Sponsor Bank notified late",IF(AND(K22&lt;&gt;"",K22&lt;&gt;"None",Q22=""),"Enter the legal deadline",IF(AND(S22&lt;&gt;"",OR(T22="",V22="")),"Record outcome and root cause",IF(AND(P22="",S22="",Settings!$B$4&gt;O22),"Acknowledgment overdue",""))))))))</f>
        <v/>
      </c>
    </row>
    <row r="23" ht="15.75" customHeight="1" s="31">
      <c r="A23" s="44" t="n"/>
      <c r="B23" s="45" t="n"/>
      <c r="C23" s="45" t="n"/>
      <c r="D23" s="44" t="n"/>
      <c r="E23" s="44" t="n"/>
      <c r="F23" s="44" t="n"/>
      <c r="G23" s="44" t="n"/>
      <c r="H23" s="44" t="n"/>
      <c r="I23" s="44" t="n"/>
      <c r="J23" s="44" t="n"/>
      <c r="K23" s="44" t="n"/>
      <c r="L23" s="41">
        <f>IF(B23="","",IF(OR(COUNTIF(Settings!$E$4:$E$9,D23)&gt;0,I23="Yes",J23="Yes",K23="Fair lending allegation"),"Escalated","Standard"))</f>
        <v/>
      </c>
      <c r="M23" s="45" t="n"/>
      <c r="N23" s="45" t="n"/>
      <c r="O23" s="42">
        <f>IF(B23="","",WORKDAY(B23,Settings!$B$7))</f>
        <v/>
      </c>
      <c r="P23" s="45" t="n"/>
      <c r="Q23" s="45" t="n"/>
      <c r="R23" s="42">
        <f>IF(B23="","",IF(Q23&lt;&gt;"",MIN(Q23,IF(L23="Escalated",B23+Settings!$B$9,WORKDAY(B23,Settings!$B$8))),IF(L23="Escalated",B23+Settings!$B$9,WORKDAY(B23,Settings!$B$8))))</f>
        <v/>
      </c>
      <c r="S23" s="45" t="n"/>
      <c r="T23" s="44" t="n"/>
      <c r="U23" s="46" t="n"/>
      <c r="V23" s="44" t="n"/>
      <c r="W23" s="44" t="n"/>
      <c r="X23" s="44" t="n"/>
      <c r="Y23" s="41">
        <f>IF(B23="","",IF(S23&lt;&gt;"",S23,Settings!$B$4)-B23)</f>
        <v/>
      </c>
      <c r="Z23" s="41">
        <f>IF(B23="","",IF(S23&lt;&gt;"",IF(S23&gt;R23,"Closed late","Closed on time"),IF(Settings!$B$4&gt;R23,"Open: overdue","Open")))</f>
        <v/>
      </c>
      <c r="AA23" s="41">
        <f>IF(B23="","",IF(NETWORKDAYS(B23,C23)-1&gt;Settings!$B$5,"Logged late",IF(AND(L23="Escalated",M23=""),"Escalate to Compliance",IF(AND(L23="Escalated",N23=""),"Notify Sponsor Bank",IF(AND(L23="Escalated",N23&lt;&gt;"",NETWORKDAYS(B23,N23)-1&gt;Settings!$B$10),"Sponsor Bank notified late",IF(AND(K23&lt;&gt;"",K23&lt;&gt;"None",Q23=""),"Enter the legal deadline",IF(AND(S23&lt;&gt;"",OR(T23="",V23="")),"Record outcome and root cause",IF(AND(P23="",S23="",Settings!$B$4&gt;O23),"Acknowledgment overdue",""))))))))</f>
        <v/>
      </c>
    </row>
    <row r="24" ht="15.75" customHeight="1" s="31">
      <c r="A24" s="44" t="n"/>
      <c r="B24" s="45" t="n"/>
      <c r="C24" s="45" t="n"/>
      <c r="D24" s="44" t="n"/>
      <c r="E24" s="44" t="n"/>
      <c r="F24" s="44" t="n"/>
      <c r="G24" s="44" t="n"/>
      <c r="H24" s="44" t="n"/>
      <c r="I24" s="44" t="n"/>
      <c r="J24" s="44" t="n"/>
      <c r="K24" s="44" t="n"/>
      <c r="L24" s="41">
        <f>IF(B24="","",IF(OR(COUNTIF(Settings!$E$4:$E$9,D24)&gt;0,I24="Yes",J24="Yes",K24="Fair lending allegation"),"Escalated","Standard"))</f>
        <v/>
      </c>
      <c r="M24" s="45" t="n"/>
      <c r="N24" s="45" t="n"/>
      <c r="O24" s="42">
        <f>IF(B24="","",WORKDAY(B24,Settings!$B$7))</f>
        <v/>
      </c>
      <c r="P24" s="45" t="n"/>
      <c r="Q24" s="45" t="n"/>
      <c r="R24" s="42">
        <f>IF(B24="","",IF(Q24&lt;&gt;"",MIN(Q24,IF(L24="Escalated",B24+Settings!$B$9,WORKDAY(B24,Settings!$B$8))),IF(L24="Escalated",B24+Settings!$B$9,WORKDAY(B24,Settings!$B$8))))</f>
        <v/>
      </c>
      <c r="S24" s="45" t="n"/>
      <c r="T24" s="44" t="n"/>
      <c r="U24" s="46" t="n"/>
      <c r="V24" s="44" t="n"/>
      <c r="W24" s="44" t="n"/>
      <c r="X24" s="44" t="n"/>
      <c r="Y24" s="41">
        <f>IF(B24="","",IF(S24&lt;&gt;"",S24,Settings!$B$4)-B24)</f>
        <v/>
      </c>
      <c r="Z24" s="41">
        <f>IF(B24="","",IF(S24&lt;&gt;"",IF(S24&gt;R24,"Closed late","Closed on time"),IF(Settings!$B$4&gt;R24,"Open: overdue","Open")))</f>
        <v/>
      </c>
      <c r="AA24" s="41">
        <f>IF(B24="","",IF(NETWORKDAYS(B24,C24)-1&gt;Settings!$B$5,"Logged late",IF(AND(L24="Escalated",M24=""),"Escalate to Compliance",IF(AND(L24="Escalated",N24=""),"Notify Sponsor Bank",IF(AND(L24="Escalated",N24&lt;&gt;"",NETWORKDAYS(B24,N24)-1&gt;Settings!$B$10),"Sponsor Bank notified late",IF(AND(K24&lt;&gt;"",K24&lt;&gt;"None",Q24=""),"Enter the legal deadline",IF(AND(S24&lt;&gt;"",OR(T24="",V24="")),"Record outcome and root cause",IF(AND(P24="",S24="",Settings!$B$4&gt;O24),"Acknowledgment overdue",""))))))))</f>
        <v/>
      </c>
    </row>
    <row r="25" ht="15.75" customHeight="1" s="31">
      <c r="A25" s="44" t="n"/>
      <c r="B25" s="45" t="n"/>
      <c r="C25" s="45" t="n"/>
      <c r="D25" s="44" t="n"/>
      <c r="E25" s="44" t="n"/>
      <c r="F25" s="44" t="n"/>
      <c r="G25" s="44" t="n"/>
      <c r="H25" s="44" t="n"/>
      <c r="I25" s="44" t="n"/>
      <c r="J25" s="44" t="n"/>
      <c r="K25" s="44" t="n"/>
      <c r="L25" s="41">
        <f>IF(B25="","",IF(OR(COUNTIF(Settings!$E$4:$E$9,D25)&gt;0,I25="Yes",J25="Yes",K25="Fair lending allegation"),"Escalated","Standard"))</f>
        <v/>
      </c>
      <c r="M25" s="45" t="n"/>
      <c r="N25" s="45" t="n"/>
      <c r="O25" s="42">
        <f>IF(B25="","",WORKDAY(B25,Settings!$B$7))</f>
        <v/>
      </c>
      <c r="P25" s="45" t="n"/>
      <c r="Q25" s="45" t="n"/>
      <c r="R25" s="42">
        <f>IF(B25="","",IF(Q25&lt;&gt;"",MIN(Q25,IF(L25="Escalated",B25+Settings!$B$9,WORKDAY(B25,Settings!$B$8))),IF(L25="Escalated",B25+Settings!$B$9,WORKDAY(B25,Settings!$B$8))))</f>
        <v/>
      </c>
      <c r="S25" s="45" t="n"/>
      <c r="T25" s="44" t="n"/>
      <c r="U25" s="46" t="n"/>
      <c r="V25" s="44" t="n"/>
      <c r="W25" s="44" t="n"/>
      <c r="X25" s="44" t="n"/>
      <c r="Y25" s="41">
        <f>IF(B25="","",IF(S25&lt;&gt;"",S25,Settings!$B$4)-B25)</f>
        <v/>
      </c>
      <c r="Z25" s="41">
        <f>IF(B25="","",IF(S25&lt;&gt;"",IF(S25&gt;R25,"Closed late","Closed on time"),IF(Settings!$B$4&gt;R25,"Open: overdue","Open")))</f>
        <v/>
      </c>
      <c r="AA25" s="41">
        <f>IF(B25="","",IF(NETWORKDAYS(B25,C25)-1&gt;Settings!$B$5,"Logged late",IF(AND(L25="Escalated",M25=""),"Escalate to Compliance",IF(AND(L25="Escalated",N25=""),"Notify Sponsor Bank",IF(AND(L25="Escalated",N25&lt;&gt;"",NETWORKDAYS(B25,N25)-1&gt;Settings!$B$10),"Sponsor Bank notified late",IF(AND(K25&lt;&gt;"",K25&lt;&gt;"None",Q25=""),"Enter the legal deadline",IF(AND(S25&lt;&gt;"",OR(T25="",V25="")),"Record outcome and root cause",IF(AND(P25="",S25="",Settings!$B$4&gt;O25),"Acknowledgment overdue",""))))))))</f>
        <v/>
      </c>
    </row>
    <row r="26" ht="15.75" customHeight="1" s="31">
      <c r="A26" s="44" t="n"/>
      <c r="B26" s="45" t="n"/>
      <c r="C26" s="45" t="n"/>
      <c r="D26" s="44" t="n"/>
      <c r="E26" s="44" t="n"/>
      <c r="F26" s="44" t="n"/>
      <c r="G26" s="44" t="n"/>
      <c r="H26" s="44" t="n"/>
      <c r="I26" s="44" t="n"/>
      <c r="J26" s="44" t="n"/>
      <c r="K26" s="44" t="n"/>
      <c r="L26" s="41">
        <f>IF(B26="","",IF(OR(COUNTIF(Settings!$E$4:$E$9,D26)&gt;0,I26="Yes",J26="Yes",K26="Fair lending allegation"),"Escalated","Standard"))</f>
        <v/>
      </c>
      <c r="M26" s="45" t="n"/>
      <c r="N26" s="45" t="n"/>
      <c r="O26" s="42">
        <f>IF(B26="","",WORKDAY(B26,Settings!$B$7))</f>
        <v/>
      </c>
      <c r="P26" s="45" t="n"/>
      <c r="Q26" s="45" t="n"/>
      <c r="R26" s="42">
        <f>IF(B26="","",IF(Q26&lt;&gt;"",MIN(Q26,IF(L26="Escalated",B26+Settings!$B$9,WORKDAY(B26,Settings!$B$8))),IF(L26="Escalated",B26+Settings!$B$9,WORKDAY(B26,Settings!$B$8))))</f>
        <v/>
      </c>
      <c r="S26" s="45" t="n"/>
      <c r="T26" s="44" t="n"/>
      <c r="U26" s="46" t="n"/>
      <c r="V26" s="44" t="n"/>
      <c r="W26" s="44" t="n"/>
      <c r="X26" s="44" t="n"/>
      <c r="Y26" s="41">
        <f>IF(B26="","",IF(S26&lt;&gt;"",S26,Settings!$B$4)-B26)</f>
        <v/>
      </c>
      <c r="Z26" s="41">
        <f>IF(B26="","",IF(S26&lt;&gt;"",IF(S26&gt;R26,"Closed late","Closed on time"),IF(Settings!$B$4&gt;R26,"Open: overdue","Open")))</f>
        <v/>
      </c>
      <c r="AA26" s="41">
        <f>IF(B26="","",IF(NETWORKDAYS(B26,C26)-1&gt;Settings!$B$5,"Logged late",IF(AND(L26="Escalated",M26=""),"Escalate to Compliance",IF(AND(L26="Escalated",N26=""),"Notify Sponsor Bank",IF(AND(L26="Escalated",N26&lt;&gt;"",NETWORKDAYS(B26,N26)-1&gt;Settings!$B$10),"Sponsor Bank notified late",IF(AND(K26&lt;&gt;"",K26&lt;&gt;"None",Q26=""),"Enter the legal deadline",IF(AND(S26&lt;&gt;"",OR(T26="",V26="")),"Record outcome and root cause",IF(AND(P26="",S26="",Settings!$B$4&gt;O26),"Acknowledgment overdue",""))))))))</f>
        <v/>
      </c>
    </row>
    <row r="27" ht="15.75" customHeight="1" s="31">
      <c r="A27" s="44" t="n"/>
      <c r="B27" s="45" t="n"/>
      <c r="C27" s="45" t="n"/>
      <c r="D27" s="44" t="n"/>
      <c r="E27" s="44" t="n"/>
      <c r="F27" s="44" t="n"/>
      <c r="G27" s="44" t="n"/>
      <c r="H27" s="44" t="n"/>
      <c r="I27" s="44" t="n"/>
      <c r="J27" s="44" t="n"/>
      <c r="K27" s="44" t="n"/>
      <c r="L27" s="41">
        <f>IF(B27="","",IF(OR(COUNTIF(Settings!$E$4:$E$9,D27)&gt;0,I27="Yes",J27="Yes",K27="Fair lending allegation"),"Escalated","Standard"))</f>
        <v/>
      </c>
      <c r="M27" s="45" t="n"/>
      <c r="N27" s="45" t="n"/>
      <c r="O27" s="42">
        <f>IF(B27="","",WORKDAY(B27,Settings!$B$7))</f>
        <v/>
      </c>
      <c r="P27" s="45" t="n"/>
      <c r="Q27" s="45" t="n"/>
      <c r="R27" s="42">
        <f>IF(B27="","",IF(Q27&lt;&gt;"",MIN(Q27,IF(L27="Escalated",B27+Settings!$B$9,WORKDAY(B27,Settings!$B$8))),IF(L27="Escalated",B27+Settings!$B$9,WORKDAY(B27,Settings!$B$8))))</f>
        <v/>
      </c>
      <c r="S27" s="45" t="n"/>
      <c r="T27" s="44" t="n"/>
      <c r="U27" s="46" t="n"/>
      <c r="V27" s="44" t="n"/>
      <c r="W27" s="44" t="n"/>
      <c r="X27" s="44" t="n"/>
      <c r="Y27" s="41">
        <f>IF(B27="","",IF(S27&lt;&gt;"",S27,Settings!$B$4)-B27)</f>
        <v/>
      </c>
      <c r="Z27" s="41">
        <f>IF(B27="","",IF(S27&lt;&gt;"",IF(S27&gt;R27,"Closed late","Closed on time"),IF(Settings!$B$4&gt;R27,"Open: overdue","Open")))</f>
        <v/>
      </c>
      <c r="AA27" s="41">
        <f>IF(B27="","",IF(NETWORKDAYS(B27,C27)-1&gt;Settings!$B$5,"Logged late",IF(AND(L27="Escalated",M27=""),"Escalate to Compliance",IF(AND(L27="Escalated",N27=""),"Notify Sponsor Bank",IF(AND(L27="Escalated",N27&lt;&gt;"",NETWORKDAYS(B27,N27)-1&gt;Settings!$B$10),"Sponsor Bank notified late",IF(AND(K27&lt;&gt;"",K27&lt;&gt;"None",Q27=""),"Enter the legal deadline",IF(AND(S27&lt;&gt;"",OR(T27="",V27="")),"Record outcome and root cause",IF(AND(P27="",S27="",Settings!$B$4&gt;O27),"Acknowledgment overdue",""))))))))</f>
        <v/>
      </c>
    </row>
    <row r="28" ht="15.75" customHeight="1" s="31">
      <c r="A28" s="44" t="n"/>
      <c r="B28" s="45" t="n"/>
      <c r="C28" s="45" t="n"/>
      <c r="D28" s="44" t="n"/>
      <c r="E28" s="44" t="n"/>
      <c r="F28" s="44" t="n"/>
      <c r="G28" s="44" t="n"/>
      <c r="H28" s="44" t="n"/>
      <c r="I28" s="44" t="n"/>
      <c r="J28" s="44" t="n"/>
      <c r="K28" s="44" t="n"/>
      <c r="L28" s="41">
        <f>IF(B28="","",IF(OR(COUNTIF(Settings!$E$4:$E$9,D28)&gt;0,I28="Yes",J28="Yes",K28="Fair lending allegation"),"Escalated","Standard"))</f>
        <v/>
      </c>
      <c r="M28" s="45" t="n"/>
      <c r="N28" s="45" t="n"/>
      <c r="O28" s="42">
        <f>IF(B28="","",WORKDAY(B28,Settings!$B$7))</f>
        <v/>
      </c>
      <c r="P28" s="45" t="n"/>
      <c r="Q28" s="45" t="n"/>
      <c r="R28" s="42">
        <f>IF(B28="","",IF(Q28&lt;&gt;"",MIN(Q28,IF(L28="Escalated",B28+Settings!$B$9,WORKDAY(B28,Settings!$B$8))),IF(L28="Escalated",B28+Settings!$B$9,WORKDAY(B28,Settings!$B$8))))</f>
        <v/>
      </c>
      <c r="S28" s="45" t="n"/>
      <c r="T28" s="44" t="n"/>
      <c r="U28" s="46" t="n"/>
      <c r="V28" s="44" t="n"/>
      <c r="W28" s="44" t="n"/>
      <c r="X28" s="44" t="n"/>
      <c r="Y28" s="41">
        <f>IF(B28="","",IF(S28&lt;&gt;"",S28,Settings!$B$4)-B28)</f>
        <v/>
      </c>
      <c r="Z28" s="41">
        <f>IF(B28="","",IF(S28&lt;&gt;"",IF(S28&gt;R28,"Closed late","Closed on time"),IF(Settings!$B$4&gt;R28,"Open: overdue","Open")))</f>
        <v/>
      </c>
      <c r="AA28" s="41">
        <f>IF(B28="","",IF(NETWORKDAYS(B28,C28)-1&gt;Settings!$B$5,"Logged late",IF(AND(L28="Escalated",M28=""),"Escalate to Compliance",IF(AND(L28="Escalated",N28=""),"Notify Sponsor Bank",IF(AND(L28="Escalated",N28&lt;&gt;"",NETWORKDAYS(B28,N28)-1&gt;Settings!$B$10),"Sponsor Bank notified late",IF(AND(K28&lt;&gt;"",K28&lt;&gt;"None",Q28=""),"Enter the legal deadline",IF(AND(S28&lt;&gt;"",OR(T28="",V28="")),"Record outcome and root cause",IF(AND(P28="",S28="",Settings!$B$4&gt;O28),"Acknowledgment overdue",""))))))))</f>
        <v/>
      </c>
    </row>
    <row r="29" ht="15.75" customHeight="1" s="31">
      <c r="A29" s="44" t="n"/>
      <c r="B29" s="45" t="n"/>
      <c r="C29" s="45" t="n"/>
      <c r="D29" s="44" t="n"/>
      <c r="E29" s="44" t="n"/>
      <c r="F29" s="44" t="n"/>
      <c r="G29" s="44" t="n"/>
      <c r="H29" s="44" t="n"/>
      <c r="I29" s="44" t="n"/>
      <c r="J29" s="44" t="n"/>
      <c r="K29" s="44" t="n"/>
      <c r="L29" s="41">
        <f>IF(B29="","",IF(OR(COUNTIF(Settings!$E$4:$E$9,D29)&gt;0,I29="Yes",J29="Yes",K29="Fair lending allegation"),"Escalated","Standard"))</f>
        <v/>
      </c>
      <c r="M29" s="45" t="n"/>
      <c r="N29" s="45" t="n"/>
      <c r="O29" s="42">
        <f>IF(B29="","",WORKDAY(B29,Settings!$B$7))</f>
        <v/>
      </c>
      <c r="P29" s="45" t="n"/>
      <c r="Q29" s="45" t="n"/>
      <c r="R29" s="42">
        <f>IF(B29="","",IF(Q29&lt;&gt;"",MIN(Q29,IF(L29="Escalated",B29+Settings!$B$9,WORKDAY(B29,Settings!$B$8))),IF(L29="Escalated",B29+Settings!$B$9,WORKDAY(B29,Settings!$B$8))))</f>
        <v/>
      </c>
      <c r="S29" s="45" t="n"/>
      <c r="T29" s="44" t="n"/>
      <c r="U29" s="46" t="n"/>
      <c r="V29" s="44" t="n"/>
      <c r="W29" s="44" t="n"/>
      <c r="X29" s="44" t="n"/>
      <c r="Y29" s="41">
        <f>IF(B29="","",IF(S29&lt;&gt;"",S29,Settings!$B$4)-B29)</f>
        <v/>
      </c>
      <c r="Z29" s="41">
        <f>IF(B29="","",IF(S29&lt;&gt;"",IF(S29&gt;R29,"Closed late","Closed on time"),IF(Settings!$B$4&gt;R29,"Open: overdue","Open")))</f>
        <v/>
      </c>
      <c r="AA29" s="41">
        <f>IF(B29="","",IF(NETWORKDAYS(B29,C29)-1&gt;Settings!$B$5,"Logged late",IF(AND(L29="Escalated",M29=""),"Escalate to Compliance",IF(AND(L29="Escalated",N29=""),"Notify Sponsor Bank",IF(AND(L29="Escalated",N29&lt;&gt;"",NETWORKDAYS(B29,N29)-1&gt;Settings!$B$10),"Sponsor Bank notified late",IF(AND(K29&lt;&gt;"",K29&lt;&gt;"None",Q29=""),"Enter the legal deadline",IF(AND(S29&lt;&gt;"",OR(T29="",V29="")),"Record outcome and root cause",IF(AND(P29="",S29="",Settings!$B$4&gt;O29),"Acknowledgment overdue",""))))))))</f>
        <v/>
      </c>
    </row>
    <row r="30" ht="15.75" customHeight="1" s="31">
      <c r="A30" s="44" t="n"/>
      <c r="B30" s="45" t="n"/>
      <c r="C30" s="45" t="n"/>
      <c r="D30" s="44" t="n"/>
      <c r="E30" s="44" t="n"/>
      <c r="F30" s="44" t="n"/>
      <c r="G30" s="44" t="n"/>
      <c r="H30" s="44" t="n"/>
      <c r="I30" s="44" t="n"/>
      <c r="J30" s="44" t="n"/>
      <c r="K30" s="44" t="n"/>
      <c r="L30" s="41">
        <f>IF(B30="","",IF(OR(COUNTIF(Settings!$E$4:$E$9,D30)&gt;0,I30="Yes",J30="Yes",K30="Fair lending allegation"),"Escalated","Standard"))</f>
        <v/>
      </c>
      <c r="M30" s="45" t="n"/>
      <c r="N30" s="45" t="n"/>
      <c r="O30" s="42">
        <f>IF(B30="","",WORKDAY(B30,Settings!$B$7))</f>
        <v/>
      </c>
      <c r="P30" s="45" t="n"/>
      <c r="Q30" s="45" t="n"/>
      <c r="R30" s="42">
        <f>IF(B30="","",IF(Q30&lt;&gt;"",MIN(Q30,IF(L30="Escalated",B30+Settings!$B$9,WORKDAY(B30,Settings!$B$8))),IF(L30="Escalated",B30+Settings!$B$9,WORKDAY(B30,Settings!$B$8))))</f>
        <v/>
      </c>
      <c r="S30" s="45" t="n"/>
      <c r="T30" s="44" t="n"/>
      <c r="U30" s="46" t="n"/>
      <c r="V30" s="44" t="n"/>
      <c r="W30" s="44" t="n"/>
      <c r="X30" s="44" t="n"/>
      <c r="Y30" s="41">
        <f>IF(B30="","",IF(S30&lt;&gt;"",S30,Settings!$B$4)-B30)</f>
        <v/>
      </c>
      <c r="Z30" s="41">
        <f>IF(B30="","",IF(S30&lt;&gt;"",IF(S30&gt;R30,"Closed late","Closed on time"),IF(Settings!$B$4&gt;R30,"Open: overdue","Open")))</f>
        <v/>
      </c>
      <c r="AA30" s="41">
        <f>IF(B30="","",IF(NETWORKDAYS(B30,C30)-1&gt;Settings!$B$5,"Logged late",IF(AND(L30="Escalated",M30=""),"Escalate to Compliance",IF(AND(L30="Escalated",N30=""),"Notify Sponsor Bank",IF(AND(L30="Escalated",N30&lt;&gt;"",NETWORKDAYS(B30,N30)-1&gt;Settings!$B$10),"Sponsor Bank notified late",IF(AND(K30&lt;&gt;"",K30&lt;&gt;"None",Q30=""),"Enter the legal deadline",IF(AND(S30&lt;&gt;"",OR(T30="",V30="")),"Record outcome and root cause",IF(AND(P30="",S30="",Settings!$B$4&gt;O30),"Acknowledgment overdue",""))))))))</f>
        <v/>
      </c>
    </row>
    <row r="31" ht="15.75" customHeight="1" s="31">
      <c r="A31" s="44" t="n"/>
      <c r="B31" s="45" t="n"/>
      <c r="C31" s="45" t="n"/>
      <c r="D31" s="44" t="n"/>
      <c r="E31" s="44" t="n"/>
      <c r="F31" s="44" t="n"/>
      <c r="G31" s="44" t="n"/>
      <c r="H31" s="44" t="n"/>
      <c r="I31" s="44" t="n"/>
      <c r="J31" s="44" t="n"/>
      <c r="K31" s="44" t="n"/>
      <c r="L31" s="41">
        <f>IF(B31="","",IF(OR(COUNTIF(Settings!$E$4:$E$9,D31)&gt;0,I31="Yes",J31="Yes",K31="Fair lending allegation"),"Escalated","Standard"))</f>
        <v/>
      </c>
      <c r="M31" s="45" t="n"/>
      <c r="N31" s="45" t="n"/>
      <c r="O31" s="42">
        <f>IF(B31="","",WORKDAY(B31,Settings!$B$7))</f>
        <v/>
      </c>
      <c r="P31" s="45" t="n"/>
      <c r="Q31" s="45" t="n"/>
      <c r="R31" s="42">
        <f>IF(B31="","",IF(Q31&lt;&gt;"",MIN(Q31,IF(L31="Escalated",B31+Settings!$B$9,WORKDAY(B31,Settings!$B$8))),IF(L31="Escalated",B31+Settings!$B$9,WORKDAY(B31,Settings!$B$8))))</f>
        <v/>
      </c>
      <c r="S31" s="45" t="n"/>
      <c r="T31" s="44" t="n"/>
      <c r="U31" s="46" t="n"/>
      <c r="V31" s="44" t="n"/>
      <c r="W31" s="44" t="n"/>
      <c r="X31" s="44" t="n"/>
      <c r="Y31" s="41">
        <f>IF(B31="","",IF(S31&lt;&gt;"",S31,Settings!$B$4)-B31)</f>
        <v/>
      </c>
      <c r="Z31" s="41">
        <f>IF(B31="","",IF(S31&lt;&gt;"",IF(S31&gt;R31,"Closed late","Closed on time"),IF(Settings!$B$4&gt;R31,"Open: overdue","Open")))</f>
        <v/>
      </c>
      <c r="AA31" s="41">
        <f>IF(B31="","",IF(NETWORKDAYS(B31,C31)-1&gt;Settings!$B$5,"Logged late",IF(AND(L31="Escalated",M31=""),"Escalate to Compliance",IF(AND(L31="Escalated",N31=""),"Notify Sponsor Bank",IF(AND(L31="Escalated",N31&lt;&gt;"",NETWORKDAYS(B31,N31)-1&gt;Settings!$B$10),"Sponsor Bank notified late",IF(AND(K31&lt;&gt;"",K31&lt;&gt;"None",Q31=""),"Enter the legal deadline",IF(AND(S31&lt;&gt;"",OR(T31="",V31="")),"Record outcome and root cause",IF(AND(P31="",S31="",Settings!$B$4&gt;O31),"Acknowledgment overdue",""))))))))</f>
        <v/>
      </c>
    </row>
    <row r="32" ht="15.75" customHeight="1" s="31">
      <c r="A32" s="44" t="n"/>
      <c r="B32" s="45" t="n"/>
      <c r="C32" s="45" t="n"/>
      <c r="D32" s="44" t="n"/>
      <c r="E32" s="44" t="n"/>
      <c r="F32" s="44" t="n"/>
      <c r="G32" s="44" t="n"/>
      <c r="H32" s="44" t="n"/>
      <c r="I32" s="44" t="n"/>
      <c r="J32" s="44" t="n"/>
      <c r="K32" s="44" t="n"/>
      <c r="L32" s="41">
        <f>IF(B32="","",IF(OR(COUNTIF(Settings!$E$4:$E$9,D32)&gt;0,I32="Yes",J32="Yes",K32="Fair lending allegation"),"Escalated","Standard"))</f>
        <v/>
      </c>
      <c r="M32" s="45" t="n"/>
      <c r="N32" s="45" t="n"/>
      <c r="O32" s="42">
        <f>IF(B32="","",WORKDAY(B32,Settings!$B$7))</f>
        <v/>
      </c>
      <c r="P32" s="45" t="n"/>
      <c r="Q32" s="45" t="n"/>
      <c r="R32" s="42">
        <f>IF(B32="","",IF(Q32&lt;&gt;"",MIN(Q32,IF(L32="Escalated",B32+Settings!$B$9,WORKDAY(B32,Settings!$B$8))),IF(L32="Escalated",B32+Settings!$B$9,WORKDAY(B32,Settings!$B$8))))</f>
        <v/>
      </c>
      <c r="S32" s="45" t="n"/>
      <c r="T32" s="44" t="n"/>
      <c r="U32" s="46" t="n"/>
      <c r="V32" s="44" t="n"/>
      <c r="W32" s="44" t="n"/>
      <c r="X32" s="44" t="n"/>
      <c r="Y32" s="41">
        <f>IF(B32="","",IF(S32&lt;&gt;"",S32,Settings!$B$4)-B32)</f>
        <v/>
      </c>
      <c r="Z32" s="41">
        <f>IF(B32="","",IF(S32&lt;&gt;"",IF(S32&gt;R32,"Closed late","Closed on time"),IF(Settings!$B$4&gt;R32,"Open: overdue","Open")))</f>
        <v/>
      </c>
      <c r="AA32" s="41">
        <f>IF(B32="","",IF(NETWORKDAYS(B32,C32)-1&gt;Settings!$B$5,"Logged late",IF(AND(L32="Escalated",M32=""),"Escalate to Compliance",IF(AND(L32="Escalated",N32=""),"Notify Sponsor Bank",IF(AND(L32="Escalated",N32&lt;&gt;"",NETWORKDAYS(B32,N32)-1&gt;Settings!$B$10),"Sponsor Bank notified late",IF(AND(K32&lt;&gt;"",K32&lt;&gt;"None",Q32=""),"Enter the legal deadline",IF(AND(S32&lt;&gt;"",OR(T32="",V32="")),"Record outcome and root cause",IF(AND(P32="",S32="",Settings!$B$4&gt;O32),"Acknowledgment overdue",""))))))))</f>
        <v/>
      </c>
    </row>
    <row r="33" ht="15.75" customHeight="1" s="31">
      <c r="A33" s="44" t="n"/>
      <c r="B33" s="45" t="n"/>
      <c r="C33" s="45" t="n"/>
      <c r="D33" s="44" t="n"/>
      <c r="E33" s="44" t="n"/>
      <c r="F33" s="44" t="n"/>
      <c r="G33" s="44" t="n"/>
      <c r="H33" s="44" t="n"/>
      <c r="I33" s="44" t="n"/>
      <c r="J33" s="44" t="n"/>
      <c r="K33" s="44" t="n"/>
      <c r="L33" s="41">
        <f>IF(B33="","",IF(OR(COUNTIF(Settings!$E$4:$E$9,D33)&gt;0,I33="Yes",J33="Yes",K33="Fair lending allegation"),"Escalated","Standard"))</f>
        <v/>
      </c>
      <c r="M33" s="45" t="n"/>
      <c r="N33" s="45" t="n"/>
      <c r="O33" s="42">
        <f>IF(B33="","",WORKDAY(B33,Settings!$B$7))</f>
        <v/>
      </c>
      <c r="P33" s="45" t="n"/>
      <c r="Q33" s="45" t="n"/>
      <c r="R33" s="42">
        <f>IF(B33="","",IF(Q33&lt;&gt;"",MIN(Q33,IF(L33="Escalated",B33+Settings!$B$9,WORKDAY(B33,Settings!$B$8))),IF(L33="Escalated",B33+Settings!$B$9,WORKDAY(B33,Settings!$B$8))))</f>
        <v/>
      </c>
      <c r="S33" s="45" t="n"/>
      <c r="T33" s="44" t="n"/>
      <c r="U33" s="46" t="n"/>
      <c r="V33" s="44" t="n"/>
      <c r="W33" s="44" t="n"/>
      <c r="X33" s="44" t="n"/>
      <c r="Y33" s="41">
        <f>IF(B33="","",IF(S33&lt;&gt;"",S33,Settings!$B$4)-B33)</f>
        <v/>
      </c>
      <c r="Z33" s="41">
        <f>IF(B33="","",IF(S33&lt;&gt;"",IF(S33&gt;R33,"Closed late","Closed on time"),IF(Settings!$B$4&gt;R33,"Open: overdue","Open")))</f>
        <v/>
      </c>
      <c r="AA33" s="41">
        <f>IF(B33="","",IF(NETWORKDAYS(B33,C33)-1&gt;Settings!$B$5,"Logged late",IF(AND(L33="Escalated",M33=""),"Escalate to Compliance",IF(AND(L33="Escalated",N33=""),"Notify Sponsor Bank",IF(AND(L33="Escalated",N33&lt;&gt;"",NETWORKDAYS(B33,N33)-1&gt;Settings!$B$10),"Sponsor Bank notified late",IF(AND(K33&lt;&gt;"",K33&lt;&gt;"None",Q33=""),"Enter the legal deadline",IF(AND(S33&lt;&gt;"",OR(T33="",V33="")),"Record outcome and root cause",IF(AND(P33="",S33="",Settings!$B$4&gt;O33),"Acknowledgment overdue",""))))))))</f>
        <v/>
      </c>
    </row>
    <row r="34" ht="15.75" customHeight="1" s="31">
      <c r="A34" s="44" t="n"/>
      <c r="B34" s="45" t="n"/>
      <c r="C34" s="45" t="n"/>
      <c r="D34" s="44" t="n"/>
      <c r="E34" s="44" t="n"/>
      <c r="F34" s="44" t="n"/>
      <c r="G34" s="44" t="n"/>
      <c r="H34" s="44" t="n"/>
      <c r="I34" s="44" t="n"/>
      <c r="J34" s="44" t="n"/>
      <c r="K34" s="44" t="n"/>
      <c r="L34" s="41">
        <f>IF(B34="","",IF(OR(COUNTIF(Settings!$E$4:$E$9,D34)&gt;0,I34="Yes",J34="Yes",K34="Fair lending allegation"),"Escalated","Standard"))</f>
        <v/>
      </c>
      <c r="M34" s="45" t="n"/>
      <c r="N34" s="45" t="n"/>
      <c r="O34" s="42">
        <f>IF(B34="","",WORKDAY(B34,Settings!$B$7))</f>
        <v/>
      </c>
      <c r="P34" s="45" t="n"/>
      <c r="Q34" s="45" t="n"/>
      <c r="R34" s="42">
        <f>IF(B34="","",IF(Q34&lt;&gt;"",MIN(Q34,IF(L34="Escalated",B34+Settings!$B$9,WORKDAY(B34,Settings!$B$8))),IF(L34="Escalated",B34+Settings!$B$9,WORKDAY(B34,Settings!$B$8))))</f>
        <v/>
      </c>
      <c r="S34" s="45" t="n"/>
      <c r="T34" s="44" t="n"/>
      <c r="U34" s="46" t="n"/>
      <c r="V34" s="44" t="n"/>
      <c r="W34" s="44" t="n"/>
      <c r="X34" s="44" t="n"/>
      <c r="Y34" s="41">
        <f>IF(B34="","",IF(S34&lt;&gt;"",S34,Settings!$B$4)-B34)</f>
        <v/>
      </c>
      <c r="Z34" s="41">
        <f>IF(B34="","",IF(S34&lt;&gt;"",IF(S34&gt;R34,"Closed late","Closed on time"),IF(Settings!$B$4&gt;R34,"Open: overdue","Open")))</f>
        <v/>
      </c>
      <c r="AA34" s="41">
        <f>IF(B34="","",IF(NETWORKDAYS(B34,C34)-1&gt;Settings!$B$5,"Logged late",IF(AND(L34="Escalated",M34=""),"Escalate to Compliance",IF(AND(L34="Escalated",N34=""),"Notify Sponsor Bank",IF(AND(L34="Escalated",N34&lt;&gt;"",NETWORKDAYS(B34,N34)-1&gt;Settings!$B$10),"Sponsor Bank notified late",IF(AND(K34&lt;&gt;"",K34&lt;&gt;"None",Q34=""),"Enter the legal deadline",IF(AND(S34&lt;&gt;"",OR(T34="",V34="")),"Record outcome and root cause",IF(AND(P34="",S34="",Settings!$B$4&gt;O34),"Acknowledgment overdue",""))))))))</f>
        <v/>
      </c>
    </row>
    <row r="35" ht="15.75" customHeight="1" s="31">
      <c r="A35" s="44" t="n"/>
      <c r="B35" s="45" t="n"/>
      <c r="C35" s="45" t="n"/>
      <c r="D35" s="44" t="n"/>
      <c r="E35" s="44" t="n"/>
      <c r="F35" s="44" t="n"/>
      <c r="G35" s="44" t="n"/>
      <c r="H35" s="44" t="n"/>
      <c r="I35" s="44" t="n"/>
      <c r="J35" s="44" t="n"/>
      <c r="K35" s="44" t="n"/>
      <c r="L35" s="41">
        <f>IF(B35="","",IF(OR(COUNTIF(Settings!$E$4:$E$9,D35)&gt;0,I35="Yes",J35="Yes",K35="Fair lending allegation"),"Escalated","Standard"))</f>
        <v/>
      </c>
      <c r="M35" s="45" t="n"/>
      <c r="N35" s="45" t="n"/>
      <c r="O35" s="42">
        <f>IF(B35="","",WORKDAY(B35,Settings!$B$7))</f>
        <v/>
      </c>
      <c r="P35" s="45" t="n"/>
      <c r="Q35" s="45" t="n"/>
      <c r="R35" s="42">
        <f>IF(B35="","",IF(Q35&lt;&gt;"",MIN(Q35,IF(L35="Escalated",B35+Settings!$B$9,WORKDAY(B35,Settings!$B$8))),IF(L35="Escalated",B35+Settings!$B$9,WORKDAY(B35,Settings!$B$8))))</f>
        <v/>
      </c>
      <c r="S35" s="45" t="n"/>
      <c r="T35" s="44" t="n"/>
      <c r="U35" s="46" t="n"/>
      <c r="V35" s="44" t="n"/>
      <c r="W35" s="44" t="n"/>
      <c r="X35" s="44" t="n"/>
      <c r="Y35" s="41">
        <f>IF(B35="","",IF(S35&lt;&gt;"",S35,Settings!$B$4)-B35)</f>
        <v/>
      </c>
      <c r="Z35" s="41">
        <f>IF(B35="","",IF(S35&lt;&gt;"",IF(S35&gt;R35,"Closed late","Closed on time"),IF(Settings!$B$4&gt;R35,"Open: overdue","Open")))</f>
        <v/>
      </c>
      <c r="AA35" s="41">
        <f>IF(B35="","",IF(NETWORKDAYS(B35,C35)-1&gt;Settings!$B$5,"Logged late",IF(AND(L35="Escalated",M35=""),"Escalate to Compliance",IF(AND(L35="Escalated",N35=""),"Notify Sponsor Bank",IF(AND(L35="Escalated",N35&lt;&gt;"",NETWORKDAYS(B35,N35)-1&gt;Settings!$B$10),"Sponsor Bank notified late",IF(AND(K35&lt;&gt;"",K35&lt;&gt;"None",Q35=""),"Enter the legal deadline",IF(AND(S35&lt;&gt;"",OR(T35="",V35="")),"Record outcome and root cause",IF(AND(P35="",S35="",Settings!$B$4&gt;O35),"Acknowledgment overdue",""))))))))</f>
        <v/>
      </c>
    </row>
    <row r="36" ht="15.75" customHeight="1" s="31">
      <c r="A36" s="44" t="n"/>
      <c r="B36" s="45" t="n"/>
      <c r="C36" s="45" t="n"/>
      <c r="D36" s="44" t="n"/>
      <c r="E36" s="44" t="n"/>
      <c r="F36" s="44" t="n"/>
      <c r="G36" s="44" t="n"/>
      <c r="H36" s="44" t="n"/>
      <c r="I36" s="44" t="n"/>
      <c r="J36" s="44" t="n"/>
      <c r="K36" s="44" t="n"/>
      <c r="L36" s="41">
        <f>IF(B36="","",IF(OR(COUNTIF(Settings!$E$4:$E$9,D36)&gt;0,I36="Yes",J36="Yes",K36="Fair lending allegation"),"Escalated","Standard"))</f>
        <v/>
      </c>
      <c r="M36" s="45" t="n"/>
      <c r="N36" s="45" t="n"/>
      <c r="O36" s="42">
        <f>IF(B36="","",WORKDAY(B36,Settings!$B$7))</f>
        <v/>
      </c>
      <c r="P36" s="45" t="n"/>
      <c r="Q36" s="45" t="n"/>
      <c r="R36" s="42">
        <f>IF(B36="","",IF(Q36&lt;&gt;"",MIN(Q36,IF(L36="Escalated",B36+Settings!$B$9,WORKDAY(B36,Settings!$B$8))),IF(L36="Escalated",B36+Settings!$B$9,WORKDAY(B36,Settings!$B$8))))</f>
        <v/>
      </c>
      <c r="S36" s="45" t="n"/>
      <c r="T36" s="44" t="n"/>
      <c r="U36" s="46" t="n"/>
      <c r="V36" s="44" t="n"/>
      <c r="W36" s="44" t="n"/>
      <c r="X36" s="44" t="n"/>
      <c r="Y36" s="41">
        <f>IF(B36="","",IF(S36&lt;&gt;"",S36,Settings!$B$4)-B36)</f>
        <v/>
      </c>
      <c r="Z36" s="41">
        <f>IF(B36="","",IF(S36&lt;&gt;"",IF(S36&gt;R36,"Closed late","Closed on time"),IF(Settings!$B$4&gt;R36,"Open: overdue","Open")))</f>
        <v/>
      </c>
      <c r="AA36" s="41">
        <f>IF(B36="","",IF(NETWORKDAYS(B36,C36)-1&gt;Settings!$B$5,"Logged late",IF(AND(L36="Escalated",M36=""),"Escalate to Compliance",IF(AND(L36="Escalated",N36=""),"Notify Sponsor Bank",IF(AND(L36="Escalated",N36&lt;&gt;"",NETWORKDAYS(B36,N36)-1&gt;Settings!$B$10),"Sponsor Bank notified late",IF(AND(K36&lt;&gt;"",K36&lt;&gt;"None",Q36=""),"Enter the legal deadline",IF(AND(S36&lt;&gt;"",OR(T36="",V36="")),"Record outcome and root cause",IF(AND(P36="",S36="",Settings!$B$4&gt;O36),"Acknowledgment overdue",""))))))))</f>
        <v/>
      </c>
    </row>
    <row r="37" ht="15.75" customHeight="1" s="31">
      <c r="A37" s="44" t="n"/>
      <c r="B37" s="45" t="n"/>
      <c r="C37" s="45" t="n"/>
      <c r="D37" s="44" t="n"/>
      <c r="E37" s="44" t="n"/>
      <c r="F37" s="44" t="n"/>
      <c r="G37" s="44" t="n"/>
      <c r="H37" s="44" t="n"/>
      <c r="I37" s="44" t="n"/>
      <c r="J37" s="44" t="n"/>
      <c r="K37" s="44" t="n"/>
      <c r="L37" s="41">
        <f>IF(B37="","",IF(OR(COUNTIF(Settings!$E$4:$E$9,D37)&gt;0,I37="Yes",J37="Yes",K37="Fair lending allegation"),"Escalated","Standard"))</f>
        <v/>
      </c>
      <c r="M37" s="45" t="n"/>
      <c r="N37" s="45" t="n"/>
      <c r="O37" s="42">
        <f>IF(B37="","",WORKDAY(B37,Settings!$B$7))</f>
        <v/>
      </c>
      <c r="P37" s="45" t="n"/>
      <c r="Q37" s="45" t="n"/>
      <c r="R37" s="42">
        <f>IF(B37="","",IF(Q37&lt;&gt;"",MIN(Q37,IF(L37="Escalated",B37+Settings!$B$9,WORKDAY(B37,Settings!$B$8))),IF(L37="Escalated",B37+Settings!$B$9,WORKDAY(B37,Settings!$B$8))))</f>
        <v/>
      </c>
      <c r="S37" s="45" t="n"/>
      <c r="T37" s="44" t="n"/>
      <c r="U37" s="46" t="n"/>
      <c r="V37" s="44" t="n"/>
      <c r="W37" s="44" t="n"/>
      <c r="X37" s="44" t="n"/>
      <c r="Y37" s="41">
        <f>IF(B37="","",IF(S37&lt;&gt;"",S37,Settings!$B$4)-B37)</f>
        <v/>
      </c>
      <c r="Z37" s="41">
        <f>IF(B37="","",IF(S37&lt;&gt;"",IF(S37&gt;R37,"Closed late","Closed on time"),IF(Settings!$B$4&gt;R37,"Open: overdue","Open")))</f>
        <v/>
      </c>
      <c r="AA37" s="41">
        <f>IF(B37="","",IF(NETWORKDAYS(B37,C37)-1&gt;Settings!$B$5,"Logged late",IF(AND(L37="Escalated",M37=""),"Escalate to Compliance",IF(AND(L37="Escalated",N37=""),"Notify Sponsor Bank",IF(AND(L37="Escalated",N37&lt;&gt;"",NETWORKDAYS(B37,N37)-1&gt;Settings!$B$10),"Sponsor Bank notified late",IF(AND(K37&lt;&gt;"",K37&lt;&gt;"None",Q37=""),"Enter the legal deadline",IF(AND(S37&lt;&gt;"",OR(T37="",V37="")),"Record outcome and root cause",IF(AND(P37="",S37="",Settings!$B$4&gt;O37),"Acknowledgment overdue",""))))))))</f>
        <v/>
      </c>
    </row>
    <row r="38" ht="15.75" customHeight="1" s="31">
      <c r="A38" s="44" t="n"/>
      <c r="B38" s="45" t="n"/>
      <c r="C38" s="45" t="n"/>
      <c r="D38" s="44" t="n"/>
      <c r="E38" s="44" t="n"/>
      <c r="F38" s="44" t="n"/>
      <c r="G38" s="44" t="n"/>
      <c r="H38" s="44" t="n"/>
      <c r="I38" s="44" t="n"/>
      <c r="J38" s="44" t="n"/>
      <c r="K38" s="44" t="n"/>
      <c r="L38" s="41">
        <f>IF(B38="","",IF(OR(COUNTIF(Settings!$E$4:$E$9,D38)&gt;0,I38="Yes",J38="Yes",K38="Fair lending allegation"),"Escalated","Standard"))</f>
        <v/>
      </c>
      <c r="M38" s="45" t="n"/>
      <c r="N38" s="45" t="n"/>
      <c r="O38" s="42">
        <f>IF(B38="","",WORKDAY(B38,Settings!$B$7))</f>
        <v/>
      </c>
      <c r="P38" s="45" t="n"/>
      <c r="Q38" s="45" t="n"/>
      <c r="R38" s="42">
        <f>IF(B38="","",IF(Q38&lt;&gt;"",MIN(Q38,IF(L38="Escalated",B38+Settings!$B$9,WORKDAY(B38,Settings!$B$8))),IF(L38="Escalated",B38+Settings!$B$9,WORKDAY(B38,Settings!$B$8))))</f>
        <v/>
      </c>
      <c r="S38" s="45" t="n"/>
      <c r="T38" s="44" t="n"/>
      <c r="U38" s="46" t="n"/>
      <c r="V38" s="44" t="n"/>
      <c r="W38" s="44" t="n"/>
      <c r="X38" s="44" t="n"/>
      <c r="Y38" s="41">
        <f>IF(B38="","",IF(S38&lt;&gt;"",S38,Settings!$B$4)-B38)</f>
        <v/>
      </c>
      <c r="Z38" s="41">
        <f>IF(B38="","",IF(S38&lt;&gt;"",IF(S38&gt;R38,"Closed late","Closed on time"),IF(Settings!$B$4&gt;R38,"Open: overdue","Open")))</f>
        <v/>
      </c>
      <c r="AA38" s="41">
        <f>IF(B38="","",IF(NETWORKDAYS(B38,C38)-1&gt;Settings!$B$5,"Logged late",IF(AND(L38="Escalated",M38=""),"Escalate to Compliance",IF(AND(L38="Escalated",N38=""),"Notify Sponsor Bank",IF(AND(L38="Escalated",N38&lt;&gt;"",NETWORKDAYS(B38,N38)-1&gt;Settings!$B$10),"Sponsor Bank notified late",IF(AND(K38&lt;&gt;"",K38&lt;&gt;"None",Q38=""),"Enter the legal deadline",IF(AND(S38&lt;&gt;"",OR(T38="",V38="")),"Record outcome and root cause",IF(AND(P38="",S38="",Settings!$B$4&gt;O38),"Acknowledgment overdue",""))))))))</f>
        <v/>
      </c>
    </row>
    <row r="39" ht="15.75" customHeight="1" s="31">
      <c r="A39" s="44" t="n"/>
      <c r="B39" s="45" t="n"/>
      <c r="C39" s="45" t="n"/>
      <c r="D39" s="44" t="n"/>
      <c r="E39" s="44" t="n"/>
      <c r="F39" s="44" t="n"/>
      <c r="G39" s="44" t="n"/>
      <c r="H39" s="44" t="n"/>
      <c r="I39" s="44" t="n"/>
      <c r="J39" s="44" t="n"/>
      <c r="K39" s="44" t="n"/>
      <c r="L39" s="41">
        <f>IF(B39="","",IF(OR(COUNTIF(Settings!$E$4:$E$9,D39)&gt;0,I39="Yes",J39="Yes",K39="Fair lending allegation"),"Escalated","Standard"))</f>
        <v/>
      </c>
      <c r="M39" s="45" t="n"/>
      <c r="N39" s="45" t="n"/>
      <c r="O39" s="42">
        <f>IF(B39="","",WORKDAY(B39,Settings!$B$7))</f>
        <v/>
      </c>
      <c r="P39" s="45" t="n"/>
      <c r="Q39" s="45" t="n"/>
      <c r="R39" s="42">
        <f>IF(B39="","",IF(Q39&lt;&gt;"",MIN(Q39,IF(L39="Escalated",B39+Settings!$B$9,WORKDAY(B39,Settings!$B$8))),IF(L39="Escalated",B39+Settings!$B$9,WORKDAY(B39,Settings!$B$8))))</f>
        <v/>
      </c>
      <c r="S39" s="45" t="n"/>
      <c r="T39" s="44" t="n"/>
      <c r="U39" s="46" t="n"/>
      <c r="V39" s="44" t="n"/>
      <c r="W39" s="44" t="n"/>
      <c r="X39" s="44" t="n"/>
      <c r="Y39" s="41">
        <f>IF(B39="","",IF(S39&lt;&gt;"",S39,Settings!$B$4)-B39)</f>
        <v/>
      </c>
      <c r="Z39" s="41">
        <f>IF(B39="","",IF(S39&lt;&gt;"",IF(S39&gt;R39,"Closed late","Closed on time"),IF(Settings!$B$4&gt;R39,"Open: overdue","Open")))</f>
        <v/>
      </c>
      <c r="AA39" s="41">
        <f>IF(B39="","",IF(NETWORKDAYS(B39,C39)-1&gt;Settings!$B$5,"Logged late",IF(AND(L39="Escalated",M39=""),"Escalate to Compliance",IF(AND(L39="Escalated",N39=""),"Notify Sponsor Bank",IF(AND(L39="Escalated",N39&lt;&gt;"",NETWORKDAYS(B39,N39)-1&gt;Settings!$B$10),"Sponsor Bank notified late",IF(AND(K39&lt;&gt;"",K39&lt;&gt;"None",Q39=""),"Enter the legal deadline",IF(AND(S39&lt;&gt;"",OR(T39="",V39="")),"Record outcome and root cause",IF(AND(P39="",S39="",Settings!$B$4&gt;O39),"Acknowledgment overdue",""))))))))</f>
        <v/>
      </c>
    </row>
    <row r="40" ht="15.75" customHeight="1" s="31">
      <c r="A40" s="44" t="n"/>
      <c r="B40" s="45" t="n"/>
      <c r="C40" s="45" t="n"/>
      <c r="D40" s="44" t="n"/>
      <c r="E40" s="44" t="n"/>
      <c r="F40" s="44" t="n"/>
      <c r="G40" s="44" t="n"/>
      <c r="H40" s="44" t="n"/>
      <c r="I40" s="44" t="n"/>
      <c r="J40" s="44" t="n"/>
      <c r="K40" s="44" t="n"/>
      <c r="L40" s="41">
        <f>IF(B40="","",IF(OR(COUNTIF(Settings!$E$4:$E$9,D40)&gt;0,I40="Yes",J40="Yes",K40="Fair lending allegation"),"Escalated","Standard"))</f>
        <v/>
      </c>
      <c r="M40" s="45" t="n"/>
      <c r="N40" s="45" t="n"/>
      <c r="O40" s="42">
        <f>IF(B40="","",WORKDAY(B40,Settings!$B$7))</f>
        <v/>
      </c>
      <c r="P40" s="45" t="n"/>
      <c r="Q40" s="45" t="n"/>
      <c r="R40" s="42">
        <f>IF(B40="","",IF(Q40&lt;&gt;"",MIN(Q40,IF(L40="Escalated",B40+Settings!$B$9,WORKDAY(B40,Settings!$B$8))),IF(L40="Escalated",B40+Settings!$B$9,WORKDAY(B40,Settings!$B$8))))</f>
        <v/>
      </c>
      <c r="S40" s="45" t="n"/>
      <c r="T40" s="44" t="n"/>
      <c r="U40" s="46" t="n"/>
      <c r="V40" s="44" t="n"/>
      <c r="W40" s="44" t="n"/>
      <c r="X40" s="44" t="n"/>
      <c r="Y40" s="41">
        <f>IF(B40="","",IF(S40&lt;&gt;"",S40,Settings!$B$4)-B40)</f>
        <v/>
      </c>
      <c r="Z40" s="41">
        <f>IF(B40="","",IF(S40&lt;&gt;"",IF(S40&gt;R40,"Closed late","Closed on time"),IF(Settings!$B$4&gt;R40,"Open: overdue","Open")))</f>
        <v/>
      </c>
      <c r="AA40" s="41">
        <f>IF(B40="","",IF(NETWORKDAYS(B40,C40)-1&gt;Settings!$B$5,"Logged late",IF(AND(L40="Escalated",M40=""),"Escalate to Compliance",IF(AND(L40="Escalated",N40=""),"Notify Sponsor Bank",IF(AND(L40="Escalated",N40&lt;&gt;"",NETWORKDAYS(B40,N40)-1&gt;Settings!$B$10),"Sponsor Bank notified late",IF(AND(K40&lt;&gt;"",K40&lt;&gt;"None",Q40=""),"Enter the legal deadline",IF(AND(S40&lt;&gt;"",OR(T40="",V40="")),"Record outcome and root cause",IF(AND(P40="",S40="",Settings!$B$4&gt;O40),"Acknowledgment overdue",""))))))))</f>
        <v/>
      </c>
    </row>
    <row r="41" ht="15.75" customHeight="1" s="31">
      <c r="A41" s="44" t="n"/>
      <c r="B41" s="45" t="n"/>
      <c r="C41" s="45" t="n"/>
      <c r="D41" s="44" t="n"/>
      <c r="E41" s="44" t="n"/>
      <c r="F41" s="44" t="n"/>
      <c r="G41" s="44" t="n"/>
      <c r="H41" s="44" t="n"/>
      <c r="I41" s="44" t="n"/>
      <c r="J41" s="44" t="n"/>
      <c r="K41" s="44" t="n"/>
      <c r="L41" s="41">
        <f>IF(B41="","",IF(OR(COUNTIF(Settings!$E$4:$E$9,D41)&gt;0,I41="Yes",J41="Yes",K41="Fair lending allegation"),"Escalated","Standard"))</f>
        <v/>
      </c>
      <c r="M41" s="45" t="n"/>
      <c r="N41" s="45" t="n"/>
      <c r="O41" s="42">
        <f>IF(B41="","",WORKDAY(B41,Settings!$B$7))</f>
        <v/>
      </c>
      <c r="P41" s="45" t="n"/>
      <c r="Q41" s="45" t="n"/>
      <c r="R41" s="42">
        <f>IF(B41="","",IF(Q41&lt;&gt;"",MIN(Q41,IF(L41="Escalated",B41+Settings!$B$9,WORKDAY(B41,Settings!$B$8))),IF(L41="Escalated",B41+Settings!$B$9,WORKDAY(B41,Settings!$B$8))))</f>
        <v/>
      </c>
      <c r="S41" s="45" t="n"/>
      <c r="T41" s="44" t="n"/>
      <c r="U41" s="46" t="n"/>
      <c r="V41" s="44" t="n"/>
      <c r="W41" s="44" t="n"/>
      <c r="X41" s="44" t="n"/>
      <c r="Y41" s="41">
        <f>IF(B41="","",IF(S41&lt;&gt;"",S41,Settings!$B$4)-B41)</f>
        <v/>
      </c>
      <c r="Z41" s="41">
        <f>IF(B41="","",IF(S41&lt;&gt;"",IF(S41&gt;R41,"Closed late","Closed on time"),IF(Settings!$B$4&gt;R41,"Open: overdue","Open")))</f>
        <v/>
      </c>
      <c r="AA41" s="41">
        <f>IF(B41="","",IF(NETWORKDAYS(B41,C41)-1&gt;Settings!$B$5,"Logged late",IF(AND(L41="Escalated",M41=""),"Escalate to Compliance",IF(AND(L41="Escalated",N41=""),"Notify Sponsor Bank",IF(AND(L41="Escalated",N41&lt;&gt;"",NETWORKDAYS(B41,N41)-1&gt;Settings!$B$10),"Sponsor Bank notified late",IF(AND(K41&lt;&gt;"",K41&lt;&gt;"None",Q41=""),"Enter the legal deadline",IF(AND(S41&lt;&gt;"",OR(T41="",V41="")),"Record outcome and root cause",IF(AND(P41="",S41="",Settings!$B$4&gt;O41),"Acknowledgment overdue",""))))))))</f>
        <v/>
      </c>
    </row>
    <row r="42" ht="15.75" customHeight="1" s="31">
      <c r="A42" s="44" t="n"/>
      <c r="B42" s="45" t="n"/>
      <c r="C42" s="45" t="n"/>
      <c r="D42" s="44" t="n"/>
      <c r="E42" s="44" t="n"/>
      <c r="F42" s="44" t="n"/>
      <c r="G42" s="44" t="n"/>
      <c r="H42" s="44" t="n"/>
      <c r="I42" s="44" t="n"/>
      <c r="J42" s="44" t="n"/>
      <c r="K42" s="44" t="n"/>
      <c r="L42" s="41">
        <f>IF(B42="","",IF(OR(COUNTIF(Settings!$E$4:$E$9,D42)&gt;0,I42="Yes",J42="Yes",K42="Fair lending allegation"),"Escalated","Standard"))</f>
        <v/>
      </c>
      <c r="M42" s="45" t="n"/>
      <c r="N42" s="45" t="n"/>
      <c r="O42" s="42">
        <f>IF(B42="","",WORKDAY(B42,Settings!$B$7))</f>
        <v/>
      </c>
      <c r="P42" s="45" t="n"/>
      <c r="Q42" s="45" t="n"/>
      <c r="R42" s="42">
        <f>IF(B42="","",IF(Q42&lt;&gt;"",MIN(Q42,IF(L42="Escalated",B42+Settings!$B$9,WORKDAY(B42,Settings!$B$8))),IF(L42="Escalated",B42+Settings!$B$9,WORKDAY(B42,Settings!$B$8))))</f>
        <v/>
      </c>
      <c r="S42" s="45" t="n"/>
      <c r="T42" s="44" t="n"/>
      <c r="U42" s="46" t="n"/>
      <c r="V42" s="44" t="n"/>
      <c r="W42" s="44" t="n"/>
      <c r="X42" s="44" t="n"/>
      <c r="Y42" s="41">
        <f>IF(B42="","",IF(S42&lt;&gt;"",S42,Settings!$B$4)-B42)</f>
        <v/>
      </c>
      <c r="Z42" s="41">
        <f>IF(B42="","",IF(S42&lt;&gt;"",IF(S42&gt;R42,"Closed late","Closed on time"),IF(Settings!$B$4&gt;R42,"Open: overdue","Open")))</f>
        <v/>
      </c>
      <c r="AA42" s="41">
        <f>IF(B42="","",IF(NETWORKDAYS(B42,C42)-1&gt;Settings!$B$5,"Logged late",IF(AND(L42="Escalated",M42=""),"Escalate to Compliance",IF(AND(L42="Escalated",N42=""),"Notify Sponsor Bank",IF(AND(L42="Escalated",N42&lt;&gt;"",NETWORKDAYS(B42,N42)-1&gt;Settings!$B$10),"Sponsor Bank notified late",IF(AND(K42&lt;&gt;"",K42&lt;&gt;"None",Q42=""),"Enter the legal deadline",IF(AND(S42&lt;&gt;"",OR(T42="",V42="")),"Record outcome and root cause",IF(AND(P42="",S42="",Settings!$B$4&gt;O42),"Acknowledgment overdue",""))))))))</f>
        <v/>
      </c>
    </row>
    <row r="43" ht="15.75" customHeight="1" s="31">
      <c r="A43" s="44" t="n"/>
      <c r="B43" s="45" t="n"/>
      <c r="C43" s="45" t="n"/>
      <c r="D43" s="44" t="n"/>
      <c r="E43" s="44" t="n"/>
      <c r="F43" s="44" t="n"/>
      <c r="G43" s="44" t="n"/>
      <c r="H43" s="44" t="n"/>
      <c r="I43" s="44" t="n"/>
      <c r="J43" s="44" t="n"/>
      <c r="K43" s="44" t="n"/>
      <c r="L43" s="41">
        <f>IF(B43="","",IF(OR(COUNTIF(Settings!$E$4:$E$9,D43)&gt;0,I43="Yes",J43="Yes",K43="Fair lending allegation"),"Escalated","Standard"))</f>
        <v/>
      </c>
      <c r="M43" s="45" t="n"/>
      <c r="N43" s="45" t="n"/>
      <c r="O43" s="42">
        <f>IF(B43="","",WORKDAY(B43,Settings!$B$7))</f>
        <v/>
      </c>
      <c r="P43" s="45" t="n"/>
      <c r="Q43" s="45" t="n"/>
      <c r="R43" s="42">
        <f>IF(B43="","",IF(Q43&lt;&gt;"",MIN(Q43,IF(L43="Escalated",B43+Settings!$B$9,WORKDAY(B43,Settings!$B$8))),IF(L43="Escalated",B43+Settings!$B$9,WORKDAY(B43,Settings!$B$8))))</f>
        <v/>
      </c>
      <c r="S43" s="45" t="n"/>
      <c r="T43" s="44" t="n"/>
      <c r="U43" s="46" t="n"/>
      <c r="V43" s="44" t="n"/>
      <c r="W43" s="44" t="n"/>
      <c r="X43" s="44" t="n"/>
      <c r="Y43" s="41">
        <f>IF(B43="","",IF(S43&lt;&gt;"",S43,Settings!$B$4)-B43)</f>
        <v/>
      </c>
      <c r="Z43" s="41">
        <f>IF(B43="","",IF(S43&lt;&gt;"",IF(S43&gt;R43,"Closed late","Closed on time"),IF(Settings!$B$4&gt;R43,"Open: overdue","Open")))</f>
        <v/>
      </c>
      <c r="AA43" s="41">
        <f>IF(B43="","",IF(NETWORKDAYS(B43,C43)-1&gt;Settings!$B$5,"Logged late",IF(AND(L43="Escalated",M43=""),"Escalate to Compliance",IF(AND(L43="Escalated",N43=""),"Notify Sponsor Bank",IF(AND(L43="Escalated",N43&lt;&gt;"",NETWORKDAYS(B43,N43)-1&gt;Settings!$B$10),"Sponsor Bank notified late",IF(AND(K43&lt;&gt;"",K43&lt;&gt;"None",Q43=""),"Enter the legal deadline",IF(AND(S43&lt;&gt;"",OR(T43="",V43="")),"Record outcome and root cause",IF(AND(P43="",S43="",Settings!$B$4&gt;O43),"Acknowledgment overdue",""))))))))</f>
        <v/>
      </c>
    </row>
    <row r="44" ht="15.75" customHeight="1" s="31">
      <c r="A44" s="44" t="n"/>
      <c r="B44" s="45" t="n"/>
      <c r="C44" s="45" t="n"/>
      <c r="D44" s="44" t="n"/>
      <c r="E44" s="44" t="n"/>
      <c r="F44" s="44" t="n"/>
      <c r="G44" s="44" t="n"/>
      <c r="H44" s="44" t="n"/>
      <c r="I44" s="44" t="n"/>
      <c r="J44" s="44" t="n"/>
      <c r="K44" s="44" t="n"/>
      <c r="L44" s="41">
        <f>IF(B44="","",IF(OR(COUNTIF(Settings!$E$4:$E$9,D44)&gt;0,I44="Yes",J44="Yes",K44="Fair lending allegation"),"Escalated","Standard"))</f>
        <v/>
      </c>
      <c r="M44" s="45" t="n"/>
      <c r="N44" s="45" t="n"/>
      <c r="O44" s="42">
        <f>IF(B44="","",WORKDAY(B44,Settings!$B$7))</f>
        <v/>
      </c>
      <c r="P44" s="45" t="n"/>
      <c r="Q44" s="45" t="n"/>
      <c r="R44" s="42">
        <f>IF(B44="","",IF(Q44&lt;&gt;"",MIN(Q44,IF(L44="Escalated",B44+Settings!$B$9,WORKDAY(B44,Settings!$B$8))),IF(L44="Escalated",B44+Settings!$B$9,WORKDAY(B44,Settings!$B$8))))</f>
        <v/>
      </c>
      <c r="S44" s="45" t="n"/>
      <c r="T44" s="44" t="n"/>
      <c r="U44" s="46" t="n"/>
      <c r="V44" s="44" t="n"/>
      <c r="W44" s="44" t="n"/>
      <c r="X44" s="44" t="n"/>
      <c r="Y44" s="41">
        <f>IF(B44="","",IF(S44&lt;&gt;"",S44,Settings!$B$4)-B44)</f>
        <v/>
      </c>
      <c r="Z44" s="41">
        <f>IF(B44="","",IF(S44&lt;&gt;"",IF(S44&gt;R44,"Closed late","Closed on time"),IF(Settings!$B$4&gt;R44,"Open: overdue","Open")))</f>
        <v/>
      </c>
      <c r="AA44" s="41">
        <f>IF(B44="","",IF(NETWORKDAYS(B44,C44)-1&gt;Settings!$B$5,"Logged late",IF(AND(L44="Escalated",M44=""),"Escalate to Compliance",IF(AND(L44="Escalated",N44=""),"Notify Sponsor Bank",IF(AND(L44="Escalated",N44&lt;&gt;"",NETWORKDAYS(B44,N44)-1&gt;Settings!$B$10),"Sponsor Bank notified late",IF(AND(K44&lt;&gt;"",K44&lt;&gt;"None",Q44=""),"Enter the legal deadline",IF(AND(S44&lt;&gt;"",OR(T44="",V44="")),"Record outcome and root cause",IF(AND(P44="",S44="",Settings!$B$4&gt;O44),"Acknowledgment overdue",""))))))))</f>
        <v/>
      </c>
    </row>
    <row r="45" ht="15.75" customHeight="1" s="31">
      <c r="A45" s="44" t="n"/>
      <c r="B45" s="45" t="n"/>
      <c r="C45" s="45" t="n"/>
      <c r="D45" s="44" t="n"/>
      <c r="E45" s="44" t="n"/>
      <c r="F45" s="44" t="n"/>
      <c r="G45" s="44" t="n"/>
      <c r="H45" s="44" t="n"/>
      <c r="I45" s="44" t="n"/>
      <c r="J45" s="44" t="n"/>
      <c r="K45" s="44" t="n"/>
      <c r="L45" s="41">
        <f>IF(B45="","",IF(OR(COUNTIF(Settings!$E$4:$E$9,D45)&gt;0,I45="Yes",J45="Yes",K45="Fair lending allegation"),"Escalated","Standard"))</f>
        <v/>
      </c>
      <c r="M45" s="45" t="n"/>
      <c r="N45" s="45" t="n"/>
      <c r="O45" s="42">
        <f>IF(B45="","",WORKDAY(B45,Settings!$B$7))</f>
        <v/>
      </c>
      <c r="P45" s="45" t="n"/>
      <c r="Q45" s="45" t="n"/>
      <c r="R45" s="42">
        <f>IF(B45="","",IF(Q45&lt;&gt;"",MIN(Q45,IF(L45="Escalated",B45+Settings!$B$9,WORKDAY(B45,Settings!$B$8))),IF(L45="Escalated",B45+Settings!$B$9,WORKDAY(B45,Settings!$B$8))))</f>
        <v/>
      </c>
      <c r="S45" s="45" t="n"/>
      <c r="T45" s="44" t="n"/>
      <c r="U45" s="46" t="n"/>
      <c r="V45" s="44" t="n"/>
      <c r="W45" s="44" t="n"/>
      <c r="X45" s="44" t="n"/>
      <c r="Y45" s="41">
        <f>IF(B45="","",IF(S45&lt;&gt;"",S45,Settings!$B$4)-B45)</f>
        <v/>
      </c>
      <c r="Z45" s="41">
        <f>IF(B45="","",IF(S45&lt;&gt;"",IF(S45&gt;R45,"Closed late","Closed on time"),IF(Settings!$B$4&gt;R45,"Open: overdue","Open")))</f>
        <v/>
      </c>
      <c r="AA45" s="41">
        <f>IF(B45="","",IF(NETWORKDAYS(B45,C45)-1&gt;Settings!$B$5,"Logged late",IF(AND(L45="Escalated",M45=""),"Escalate to Compliance",IF(AND(L45="Escalated",N45=""),"Notify Sponsor Bank",IF(AND(L45="Escalated",N45&lt;&gt;"",NETWORKDAYS(B45,N45)-1&gt;Settings!$B$10),"Sponsor Bank notified late",IF(AND(K45&lt;&gt;"",K45&lt;&gt;"None",Q45=""),"Enter the legal deadline",IF(AND(S45&lt;&gt;"",OR(T45="",V45="")),"Record outcome and root cause",IF(AND(P45="",S45="",Settings!$B$4&gt;O45),"Acknowledgment overdue",""))))))))</f>
        <v/>
      </c>
    </row>
    <row r="46" ht="15.75" customHeight="1" s="31">
      <c r="A46" s="44" t="n"/>
      <c r="B46" s="45" t="n"/>
      <c r="C46" s="45" t="n"/>
      <c r="D46" s="44" t="n"/>
      <c r="E46" s="44" t="n"/>
      <c r="F46" s="44" t="n"/>
      <c r="G46" s="44" t="n"/>
      <c r="H46" s="44" t="n"/>
      <c r="I46" s="44" t="n"/>
      <c r="J46" s="44" t="n"/>
      <c r="K46" s="44" t="n"/>
      <c r="L46" s="41">
        <f>IF(B46="","",IF(OR(COUNTIF(Settings!$E$4:$E$9,D46)&gt;0,I46="Yes",J46="Yes",K46="Fair lending allegation"),"Escalated","Standard"))</f>
        <v/>
      </c>
      <c r="M46" s="45" t="n"/>
      <c r="N46" s="45" t="n"/>
      <c r="O46" s="42">
        <f>IF(B46="","",WORKDAY(B46,Settings!$B$7))</f>
        <v/>
      </c>
      <c r="P46" s="45" t="n"/>
      <c r="Q46" s="45" t="n"/>
      <c r="R46" s="42">
        <f>IF(B46="","",IF(Q46&lt;&gt;"",MIN(Q46,IF(L46="Escalated",B46+Settings!$B$9,WORKDAY(B46,Settings!$B$8))),IF(L46="Escalated",B46+Settings!$B$9,WORKDAY(B46,Settings!$B$8))))</f>
        <v/>
      </c>
      <c r="S46" s="45" t="n"/>
      <c r="T46" s="44" t="n"/>
      <c r="U46" s="46" t="n"/>
      <c r="V46" s="44" t="n"/>
      <c r="W46" s="44" t="n"/>
      <c r="X46" s="44" t="n"/>
      <c r="Y46" s="41">
        <f>IF(B46="","",IF(S46&lt;&gt;"",S46,Settings!$B$4)-B46)</f>
        <v/>
      </c>
      <c r="Z46" s="41">
        <f>IF(B46="","",IF(S46&lt;&gt;"",IF(S46&gt;R46,"Closed late","Closed on time"),IF(Settings!$B$4&gt;R46,"Open: overdue","Open")))</f>
        <v/>
      </c>
      <c r="AA46" s="41">
        <f>IF(B46="","",IF(NETWORKDAYS(B46,C46)-1&gt;Settings!$B$5,"Logged late",IF(AND(L46="Escalated",M46=""),"Escalate to Compliance",IF(AND(L46="Escalated",N46=""),"Notify Sponsor Bank",IF(AND(L46="Escalated",N46&lt;&gt;"",NETWORKDAYS(B46,N46)-1&gt;Settings!$B$10),"Sponsor Bank notified late",IF(AND(K46&lt;&gt;"",K46&lt;&gt;"None",Q46=""),"Enter the legal deadline",IF(AND(S46&lt;&gt;"",OR(T46="",V46="")),"Record outcome and root cause",IF(AND(P46="",S46="",Settings!$B$4&gt;O46),"Acknowledgment overdue",""))))))))</f>
        <v/>
      </c>
    </row>
    <row r="47" ht="15.75" customHeight="1" s="31">
      <c r="A47" s="44" t="n"/>
      <c r="B47" s="45" t="n"/>
      <c r="C47" s="45" t="n"/>
      <c r="D47" s="44" t="n"/>
      <c r="E47" s="44" t="n"/>
      <c r="F47" s="44" t="n"/>
      <c r="G47" s="44" t="n"/>
      <c r="H47" s="44" t="n"/>
      <c r="I47" s="44" t="n"/>
      <c r="J47" s="44" t="n"/>
      <c r="K47" s="44" t="n"/>
      <c r="L47" s="41">
        <f>IF(B47="","",IF(OR(COUNTIF(Settings!$E$4:$E$9,D47)&gt;0,I47="Yes",J47="Yes",K47="Fair lending allegation"),"Escalated","Standard"))</f>
        <v/>
      </c>
      <c r="M47" s="45" t="n"/>
      <c r="N47" s="45" t="n"/>
      <c r="O47" s="42">
        <f>IF(B47="","",WORKDAY(B47,Settings!$B$7))</f>
        <v/>
      </c>
      <c r="P47" s="45" t="n"/>
      <c r="Q47" s="45" t="n"/>
      <c r="R47" s="42">
        <f>IF(B47="","",IF(Q47&lt;&gt;"",MIN(Q47,IF(L47="Escalated",B47+Settings!$B$9,WORKDAY(B47,Settings!$B$8))),IF(L47="Escalated",B47+Settings!$B$9,WORKDAY(B47,Settings!$B$8))))</f>
        <v/>
      </c>
      <c r="S47" s="45" t="n"/>
      <c r="T47" s="44" t="n"/>
      <c r="U47" s="46" t="n"/>
      <c r="V47" s="44" t="n"/>
      <c r="W47" s="44" t="n"/>
      <c r="X47" s="44" t="n"/>
      <c r="Y47" s="41">
        <f>IF(B47="","",IF(S47&lt;&gt;"",S47,Settings!$B$4)-B47)</f>
        <v/>
      </c>
      <c r="Z47" s="41">
        <f>IF(B47="","",IF(S47&lt;&gt;"",IF(S47&gt;R47,"Closed late","Closed on time"),IF(Settings!$B$4&gt;R47,"Open: overdue","Open")))</f>
        <v/>
      </c>
      <c r="AA47" s="41">
        <f>IF(B47="","",IF(NETWORKDAYS(B47,C47)-1&gt;Settings!$B$5,"Logged late",IF(AND(L47="Escalated",M47=""),"Escalate to Compliance",IF(AND(L47="Escalated",N47=""),"Notify Sponsor Bank",IF(AND(L47="Escalated",N47&lt;&gt;"",NETWORKDAYS(B47,N47)-1&gt;Settings!$B$10),"Sponsor Bank notified late",IF(AND(K47&lt;&gt;"",K47&lt;&gt;"None",Q47=""),"Enter the legal deadline",IF(AND(S47&lt;&gt;"",OR(T47="",V47="")),"Record outcome and root cause",IF(AND(P47="",S47="",Settings!$B$4&gt;O47),"Acknowledgment overdue",""))))))))</f>
        <v/>
      </c>
    </row>
    <row r="48" ht="15.75" customHeight="1" s="31">
      <c r="A48" s="44" t="n"/>
      <c r="B48" s="45" t="n"/>
      <c r="C48" s="45" t="n"/>
      <c r="D48" s="44" t="n"/>
      <c r="E48" s="44" t="n"/>
      <c r="F48" s="44" t="n"/>
      <c r="G48" s="44" t="n"/>
      <c r="H48" s="44" t="n"/>
      <c r="I48" s="44" t="n"/>
      <c r="J48" s="44" t="n"/>
      <c r="K48" s="44" t="n"/>
      <c r="L48" s="41">
        <f>IF(B48="","",IF(OR(COUNTIF(Settings!$E$4:$E$9,D48)&gt;0,I48="Yes",J48="Yes",K48="Fair lending allegation"),"Escalated","Standard"))</f>
        <v/>
      </c>
      <c r="M48" s="45" t="n"/>
      <c r="N48" s="45" t="n"/>
      <c r="O48" s="42">
        <f>IF(B48="","",WORKDAY(B48,Settings!$B$7))</f>
        <v/>
      </c>
      <c r="P48" s="45" t="n"/>
      <c r="Q48" s="45" t="n"/>
      <c r="R48" s="42">
        <f>IF(B48="","",IF(Q48&lt;&gt;"",MIN(Q48,IF(L48="Escalated",B48+Settings!$B$9,WORKDAY(B48,Settings!$B$8))),IF(L48="Escalated",B48+Settings!$B$9,WORKDAY(B48,Settings!$B$8))))</f>
        <v/>
      </c>
      <c r="S48" s="45" t="n"/>
      <c r="T48" s="44" t="n"/>
      <c r="U48" s="46" t="n"/>
      <c r="V48" s="44" t="n"/>
      <c r="W48" s="44" t="n"/>
      <c r="X48" s="44" t="n"/>
      <c r="Y48" s="41">
        <f>IF(B48="","",IF(S48&lt;&gt;"",S48,Settings!$B$4)-B48)</f>
        <v/>
      </c>
      <c r="Z48" s="41">
        <f>IF(B48="","",IF(S48&lt;&gt;"",IF(S48&gt;R48,"Closed late","Closed on time"),IF(Settings!$B$4&gt;R48,"Open: overdue","Open")))</f>
        <v/>
      </c>
      <c r="AA48" s="41">
        <f>IF(B48="","",IF(NETWORKDAYS(B48,C48)-1&gt;Settings!$B$5,"Logged late",IF(AND(L48="Escalated",M48=""),"Escalate to Compliance",IF(AND(L48="Escalated",N48=""),"Notify Sponsor Bank",IF(AND(L48="Escalated",N48&lt;&gt;"",NETWORKDAYS(B48,N48)-1&gt;Settings!$B$10),"Sponsor Bank notified late",IF(AND(K48&lt;&gt;"",K48&lt;&gt;"None",Q48=""),"Enter the legal deadline",IF(AND(S48&lt;&gt;"",OR(T48="",V48="")),"Record outcome and root cause",IF(AND(P48="",S48="",Settings!$B$4&gt;O48),"Acknowledgment overdue",""))))))))</f>
        <v/>
      </c>
    </row>
    <row r="49" ht="15.75" customHeight="1" s="31">
      <c r="A49" s="44" t="n"/>
      <c r="B49" s="45" t="n"/>
      <c r="C49" s="45" t="n"/>
      <c r="D49" s="44" t="n"/>
      <c r="E49" s="44" t="n"/>
      <c r="F49" s="44" t="n"/>
      <c r="G49" s="44" t="n"/>
      <c r="H49" s="44" t="n"/>
      <c r="I49" s="44" t="n"/>
      <c r="J49" s="44" t="n"/>
      <c r="K49" s="44" t="n"/>
      <c r="L49" s="41">
        <f>IF(B49="","",IF(OR(COUNTIF(Settings!$E$4:$E$9,D49)&gt;0,I49="Yes",J49="Yes",K49="Fair lending allegation"),"Escalated","Standard"))</f>
        <v/>
      </c>
      <c r="M49" s="45" t="n"/>
      <c r="N49" s="45" t="n"/>
      <c r="O49" s="42">
        <f>IF(B49="","",WORKDAY(B49,Settings!$B$7))</f>
        <v/>
      </c>
      <c r="P49" s="45" t="n"/>
      <c r="Q49" s="45" t="n"/>
      <c r="R49" s="42">
        <f>IF(B49="","",IF(Q49&lt;&gt;"",MIN(Q49,IF(L49="Escalated",B49+Settings!$B$9,WORKDAY(B49,Settings!$B$8))),IF(L49="Escalated",B49+Settings!$B$9,WORKDAY(B49,Settings!$B$8))))</f>
        <v/>
      </c>
      <c r="S49" s="45" t="n"/>
      <c r="T49" s="44" t="n"/>
      <c r="U49" s="46" t="n"/>
      <c r="V49" s="44" t="n"/>
      <c r="W49" s="44" t="n"/>
      <c r="X49" s="44" t="n"/>
      <c r="Y49" s="41">
        <f>IF(B49="","",IF(S49&lt;&gt;"",S49,Settings!$B$4)-B49)</f>
        <v/>
      </c>
      <c r="Z49" s="41">
        <f>IF(B49="","",IF(S49&lt;&gt;"",IF(S49&gt;R49,"Closed late","Closed on time"),IF(Settings!$B$4&gt;R49,"Open: overdue","Open")))</f>
        <v/>
      </c>
      <c r="AA49" s="41">
        <f>IF(B49="","",IF(NETWORKDAYS(B49,C49)-1&gt;Settings!$B$5,"Logged late",IF(AND(L49="Escalated",M49=""),"Escalate to Compliance",IF(AND(L49="Escalated",N49=""),"Notify Sponsor Bank",IF(AND(L49="Escalated",N49&lt;&gt;"",NETWORKDAYS(B49,N49)-1&gt;Settings!$B$10),"Sponsor Bank notified late",IF(AND(K49&lt;&gt;"",K49&lt;&gt;"None",Q49=""),"Enter the legal deadline",IF(AND(S49&lt;&gt;"",OR(T49="",V49="")),"Record outcome and root cause",IF(AND(P49="",S49="",Settings!$B$4&gt;O49),"Acknowledgment overdue",""))))))))</f>
        <v/>
      </c>
    </row>
    <row r="50" ht="15.75" customHeight="1" s="31">
      <c r="A50" s="44" t="n"/>
      <c r="B50" s="45" t="n"/>
      <c r="C50" s="45" t="n"/>
      <c r="D50" s="44" t="n"/>
      <c r="E50" s="44" t="n"/>
      <c r="F50" s="44" t="n"/>
      <c r="G50" s="44" t="n"/>
      <c r="H50" s="44" t="n"/>
      <c r="I50" s="44" t="n"/>
      <c r="J50" s="44" t="n"/>
      <c r="K50" s="44" t="n"/>
      <c r="L50" s="41">
        <f>IF(B50="","",IF(OR(COUNTIF(Settings!$E$4:$E$9,D50)&gt;0,I50="Yes",J50="Yes",K50="Fair lending allegation"),"Escalated","Standard"))</f>
        <v/>
      </c>
      <c r="M50" s="45" t="n"/>
      <c r="N50" s="45" t="n"/>
      <c r="O50" s="42">
        <f>IF(B50="","",WORKDAY(B50,Settings!$B$7))</f>
        <v/>
      </c>
      <c r="P50" s="45" t="n"/>
      <c r="Q50" s="45" t="n"/>
      <c r="R50" s="42">
        <f>IF(B50="","",IF(Q50&lt;&gt;"",MIN(Q50,IF(L50="Escalated",B50+Settings!$B$9,WORKDAY(B50,Settings!$B$8))),IF(L50="Escalated",B50+Settings!$B$9,WORKDAY(B50,Settings!$B$8))))</f>
        <v/>
      </c>
      <c r="S50" s="45" t="n"/>
      <c r="T50" s="44" t="n"/>
      <c r="U50" s="46" t="n"/>
      <c r="V50" s="44" t="n"/>
      <c r="W50" s="44" t="n"/>
      <c r="X50" s="44" t="n"/>
      <c r="Y50" s="41">
        <f>IF(B50="","",IF(S50&lt;&gt;"",S50,Settings!$B$4)-B50)</f>
        <v/>
      </c>
      <c r="Z50" s="41">
        <f>IF(B50="","",IF(S50&lt;&gt;"",IF(S50&gt;R50,"Closed late","Closed on time"),IF(Settings!$B$4&gt;R50,"Open: overdue","Open")))</f>
        <v/>
      </c>
      <c r="AA50" s="41">
        <f>IF(B50="","",IF(NETWORKDAYS(B50,C50)-1&gt;Settings!$B$5,"Logged late",IF(AND(L50="Escalated",M50=""),"Escalate to Compliance",IF(AND(L50="Escalated",N50=""),"Notify Sponsor Bank",IF(AND(L50="Escalated",N50&lt;&gt;"",NETWORKDAYS(B50,N50)-1&gt;Settings!$B$10),"Sponsor Bank notified late",IF(AND(K50&lt;&gt;"",K50&lt;&gt;"None",Q50=""),"Enter the legal deadline",IF(AND(S50&lt;&gt;"",OR(T50="",V50="")),"Record outcome and root cause",IF(AND(P50="",S50="",Settings!$B$4&gt;O50),"Acknowledgment overdue",""))))))))</f>
        <v/>
      </c>
    </row>
    <row r="51" ht="15.75" customHeight="1" s="31">
      <c r="A51" s="44" t="n"/>
      <c r="B51" s="45" t="n"/>
      <c r="C51" s="45" t="n"/>
      <c r="D51" s="44" t="n"/>
      <c r="E51" s="44" t="n"/>
      <c r="F51" s="44" t="n"/>
      <c r="G51" s="44" t="n"/>
      <c r="H51" s="44" t="n"/>
      <c r="I51" s="44" t="n"/>
      <c r="J51" s="44" t="n"/>
      <c r="K51" s="44" t="n"/>
      <c r="L51" s="41">
        <f>IF(B51="","",IF(OR(COUNTIF(Settings!$E$4:$E$9,D51)&gt;0,I51="Yes",J51="Yes",K51="Fair lending allegation"),"Escalated","Standard"))</f>
        <v/>
      </c>
      <c r="M51" s="45" t="n"/>
      <c r="N51" s="45" t="n"/>
      <c r="O51" s="42">
        <f>IF(B51="","",WORKDAY(B51,Settings!$B$7))</f>
        <v/>
      </c>
      <c r="P51" s="45" t="n"/>
      <c r="Q51" s="45" t="n"/>
      <c r="R51" s="42">
        <f>IF(B51="","",IF(Q51&lt;&gt;"",MIN(Q51,IF(L51="Escalated",B51+Settings!$B$9,WORKDAY(B51,Settings!$B$8))),IF(L51="Escalated",B51+Settings!$B$9,WORKDAY(B51,Settings!$B$8))))</f>
        <v/>
      </c>
      <c r="S51" s="45" t="n"/>
      <c r="T51" s="44" t="n"/>
      <c r="U51" s="46" t="n"/>
      <c r="V51" s="44" t="n"/>
      <c r="W51" s="44" t="n"/>
      <c r="X51" s="44" t="n"/>
      <c r="Y51" s="41">
        <f>IF(B51="","",IF(S51&lt;&gt;"",S51,Settings!$B$4)-B51)</f>
        <v/>
      </c>
      <c r="Z51" s="41">
        <f>IF(B51="","",IF(S51&lt;&gt;"",IF(S51&gt;R51,"Closed late","Closed on time"),IF(Settings!$B$4&gt;R51,"Open: overdue","Open")))</f>
        <v/>
      </c>
      <c r="AA51" s="41">
        <f>IF(B51="","",IF(NETWORKDAYS(B51,C51)-1&gt;Settings!$B$5,"Logged late",IF(AND(L51="Escalated",M51=""),"Escalate to Compliance",IF(AND(L51="Escalated",N51=""),"Notify Sponsor Bank",IF(AND(L51="Escalated",N51&lt;&gt;"",NETWORKDAYS(B51,N51)-1&gt;Settings!$B$10),"Sponsor Bank notified late",IF(AND(K51&lt;&gt;"",K51&lt;&gt;"None",Q51=""),"Enter the legal deadline",IF(AND(S51&lt;&gt;"",OR(T51="",V51="")),"Record outcome and root cause",IF(AND(P51="",S51="",Settings!$B$4&gt;O51),"Acknowledgment overdue",""))))))))</f>
        <v/>
      </c>
    </row>
    <row r="52" ht="15.75" customHeight="1" s="31">
      <c r="A52" s="44" t="n"/>
      <c r="B52" s="45" t="n"/>
      <c r="C52" s="45" t="n"/>
      <c r="D52" s="44" t="n"/>
      <c r="E52" s="44" t="n"/>
      <c r="F52" s="44" t="n"/>
      <c r="G52" s="44" t="n"/>
      <c r="H52" s="44" t="n"/>
      <c r="I52" s="44" t="n"/>
      <c r="J52" s="44" t="n"/>
      <c r="K52" s="44" t="n"/>
      <c r="L52" s="41">
        <f>IF(B52="","",IF(OR(COUNTIF(Settings!$E$4:$E$9,D52)&gt;0,I52="Yes",J52="Yes",K52="Fair lending allegation"),"Escalated","Standard"))</f>
        <v/>
      </c>
      <c r="M52" s="45" t="n"/>
      <c r="N52" s="45" t="n"/>
      <c r="O52" s="42">
        <f>IF(B52="","",WORKDAY(B52,Settings!$B$7))</f>
        <v/>
      </c>
      <c r="P52" s="45" t="n"/>
      <c r="Q52" s="45" t="n"/>
      <c r="R52" s="42">
        <f>IF(B52="","",IF(Q52&lt;&gt;"",MIN(Q52,IF(L52="Escalated",B52+Settings!$B$9,WORKDAY(B52,Settings!$B$8))),IF(L52="Escalated",B52+Settings!$B$9,WORKDAY(B52,Settings!$B$8))))</f>
        <v/>
      </c>
      <c r="S52" s="45" t="n"/>
      <c r="T52" s="44" t="n"/>
      <c r="U52" s="46" t="n"/>
      <c r="V52" s="44" t="n"/>
      <c r="W52" s="44" t="n"/>
      <c r="X52" s="44" t="n"/>
      <c r="Y52" s="41">
        <f>IF(B52="","",IF(S52&lt;&gt;"",S52,Settings!$B$4)-B52)</f>
        <v/>
      </c>
      <c r="Z52" s="41">
        <f>IF(B52="","",IF(S52&lt;&gt;"",IF(S52&gt;R52,"Closed late","Closed on time"),IF(Settings!$B$4&gt;R52,"Open: overdue","Open")))</f>
        <v/>
      </c>
      <c r="AA52" s="41">
        <f>IF(B52="","",IF(NETWORKDAYS(B52,C52)-1&gt;Settings!$B$5,"Logged late",IF(AND(L52="Escalated",M52=""),"Escalate to Compliance",IF(AND(L52="Escalated",N52=""),"Notify Sponsor Bank",IF(AND(L52="Escalated",N52&lt;&gt;"",NETWORKDAYS(B52,N52)-1&gt;Settings!$B$10),"Sponsor Bank notified late",IF(AND(K52&lt;&gt;"",K52&lt;&gt;"None",Q52=""),"Enter the legal deadline",IF(AND(S52&lt;&gt;"",OR(T52="",V52="")),"Record outcome and root cause",IF(AND(P52="",S52="",Settings!$B$4&gt;O52),"Acknowledgment overdue",""))))))))</f>
        <v/>
      </c>
    </row>
    <row r="53" ht="15.75" customHeight="1" s="31">
      <c r="A53" s="44" t="n"/>
      <c r="B53" s="45" t="n"/>
      <c r="C53" s="45" t="n"/>
      <c r="D53" s="44" t="n"/>
      <c r="E53" s="44" t="n"/>
      <c r="F53" s="44" t="n"/>
      <c r="G53" s="44" t="n"/>
      <c r="H53" s="44" t="n"/>
      <c r="I53" s="44" t="n"/>
      <c r="J53" s="44" t="n"/>
      <c r="K53" s="44" t="n"/>
      <c r="L53" s="41">
        <f>IF(B53="","",IF(OR(COUNTIF(Settings!$E$4:$E$9,D53)&gt;0,I53="Yes",J53="Yes",K53="Fair lending allegation"),"Escalated","Standard"))</f>
        <v/>
      </c>
      <c r="M53" s="45" t="n"/>
      <c r="N53" s="45" t="n"/>
      <c r="O53" s="42">
        <f>IF(B53="","",WORKDAY(B53,Settings!$B$7))</f>
        <v/>
      </c>
      <c r="P53" s="45" t="n"/>
      <c r="Q53" s="45" t="n"/>
      <c r="R53" s="42">
        <f>IF(B53="","",IF(Q53&lt;&gt;"",MIN(Q53,IF(L53="Escalated",B53+Settings!$B$9,WORKDAY(B53,Settings!$B$8))),IF(L53="Escalated",B53+Settings!$B$9,WORKDAY(B53,Settings!$B$8))))</f>
        <v/>
      </c>
      <c r="S53" s="45" t="n"/>
      <c r="T53" s="44" t="n"/>
      <c r="U53" s="46" t="n"/>
      <c r="V53" s="44" t="n"/>
      <c r="W53" s="44" t="n"/>
      <c r="X53" s="44" t="n"/>
      <c r="Y53" s="41">
        <f>IF(B53="","",IF(S53&lt;&gt;"",S53,Settings!$B$4)-B53)</f>
        <v/>
      </c>
      <c r="Z53" s="41">
        <f>IF(B53="","",IF(S53&lt;&gt;"",IF(S53&gt;R53,"Closed late","Closed on time"),IF(Settings!$B$4&gt;R53,"Open: overdue","Open")))</f>
        <v/>
      </c>
      <c r="AA53" s="41">
        <f>IF(B53="","",IF(NETWORKDAYS(B53,C53)-1&gt;Settings!$B$5,"Logged late",IF(AND(L53="Escalated",M53=""),"Escalate to Compliance",IF(AND(L53="Escalated",N53=""),"Notify Sponsor Bank",IF(AND(L53="Escalated",N53&lt;&gt;"",NETWORKDAYS(B53,N53)-1&gt;Settings!$B$10),"Sponsor Bank notified late",IF(AND(K53&lt;&gt;"",K53&lt;&gt;"None",Q53=""),"Enter the legal deadline",IF(AND(S53&lt;&gt;"",OR(T53="",V53="")),"Record outcome and root cause",IF(AND(P53="",S53="",Settings!$B$4&gt;O53),"Acknowledgment overdue",""))))))))</f>
        <v/>
      </c>
    </row>
    <row r="54" ht="15.75" customHeight="1" s="31">
      <c r="A54" s="44" t="n"/>
      <c r="B54" s="45" t="n"/>
      <c r="C54" s="45" t="n"/>
      <c r="D54" s="44" t="n"/>
      <c r="E54" s="44" t="n"/>
      <c r="F54" s="44" t="n"/>
      <c r="G54" s="44" t="n"/>
      <c r="H54" s="44" t="n"/>
      <c r="I54" s="44" t="n"/>
      <c r="J54" s="44" t="n"/>
      <c r="K54" s="44" t="n"/>
      <c r="L54" s="41">
        <f>IF(B54="","",IF(OR(COUNTIF(Settings!$E$4:$E$9,D54)&gt;0,I54="Yes",J54="Yes",K54="Fair lending allegation"),"Escalated","Standard"))</f>
        <v/>
      </c>
      <c r="M54" s="45" t="n"/>
      <c r="N54" s="45" t="n"/>
      <c r="O54" s="42">
        <f>IF(B54="","",WORKDAY(B54,Settings!$B$7))</f>
        <v/>
      </c>
      <c r="P54" s="45" t="n"/>
      <c r="Q54" s="45" t="n"/>
      <c r="R54" s="42">
        <f>IF(B54="","",IF(Q54&lt;&gt;"",MIN(Q54,IF(L54="Escalated",B54+Settings!$B$9,WORKDAY(B54,Settings!$B$8))),IF(L54="Escalated",B54+Settings!$B$9,WORKDAY(B54,Settings!$B$8))))</f>
        <v/>
      </c>
      <c r="S54" s="45" t="n"/>
      <c r="T54" s="44" t="n"/>
      <c r="U54" s="46" t="n"/>
      <c r="V54" s="44" t="n"/>
      <c r="W54" s="44" t="n"/>
      <c r="X54" s="44" t="n"/>
      <c r="Y54" s="41">
        <f>IF(B54="","",IF(S54&lt;&gt;"",S54,Settings!$B$4)-B54)</f>
        <v/>
      </c>
      <c r="Z54" s="41">
        <f>IF(B54="","",IF(S54&lt;&gt;"",IF(S54&gt;R54,"Closed late","Closed on time"),IF(Settings!$B$4&gt;R54,"Open: overdue","Open")))</f>
        <v/>
      </c>
      <c r="AA54" s="41">
        <f>IF(B54="","",IF(NETWORKDAYS(B54,C54)-1&gt;Settings!$B$5,"Logged late",IF(AND(L54="Escalated",M54=""),"Escalate to Compliance",IF(AND(L54="Escalated",N54=""),"Notify Sponsor Bank",IF(AND(L54="Escalated",N54&lt;&gt;"",NETWORKDAYS(B54,N54)-1&gt;Settings!$B$10),"Sponsor Bank notified late",IF(AND(K54&lt;&gt;"",K54&lt;&gt;"None",Q54=""),"Enter the legal deadline",IF(AND(S54&lt;&gt;"",OR(T54="",V54="")),"Record outcome and root cause",IF(AND(P54="",S54="",Settings!$B$4&gt;O54),"Acknowledgment overdue",""))))))))</f>
        <v/>
      </c>
    </row>
    <row r="55" ht="15.75" customHeight="1" s="31">
      <c r="A55" s="44" t="n"/>
      <c r="B55" s="45" t="n"/>
      <c r="C55" s="45" t="n"/>
      <c r="D55" s="44" t="n"/>
      <c r="E55" s="44" t="n"/>
      <c r="F55" s="44" t="n"/>
      <c r="G55" s="44" t="n"/>
      <c r="H55" s="44" t="n"/>
      <c r="I55" s="44" t="n"/>
      <c r="J55" s="44" t="n"/>
      <c r="K55" s="44" t="n"/>
      <c r="L55" s="41">
        <f>IF(B55="","",IF(OR(COUNTIF(Settings!$E$4:$E$9,D55)&gt;0,I55="Yes",J55="Yes",K55="Fair lending allegation"),"Escalated","Standard"))</f>
        <v/>
      </c>
      <c r="M55" s="45" t="n"/>
      <c r="N55" s="45" t="n"/>
      <c r="O55" s="42">
        <f>IF(B55="","",WORKDAY(B55,Settings!$B$7))</f>
        <v/>
      </c>
      <c r="P55" s="45" t="n"/>
      <c r="Q55" s="45" t="n"/>
      <c r="R55" s="42">
        <f>IF(B55="","",IF(Q55&lt;&gt;"",MIN(Q55,IF(L55="Escalated",B55+Settings!$B$9,WORKDAY(B55,Settings!$B$8))),IF(L55="Escalated",B55+Settings!$B$9,WORKDAY(B55,Settings!$B$8))))</f>
        <v/>
      </c>
      <c r="S55" s="45" t="n"/>
      <c r="T55" s="44" t="n"/>
      <c r="U55" s="46" t="n"/>
      <c r="V55" s="44" t="n"/>
      <c r="W55" s="44" t="n"/>
      <c r="X55" s="44" t="n"/>
      <c r="Y55" s="41">
        <f>IF(B55="","",IF(S55&lt;&gt;"",S55,Settings!$B$4)-B55)</f>
        <v/>
      </c>
      <c r="Z55" s="41">
        <f>IF(B55="","",IF(S55&lt;&gt;"",IF(S55&gt;R55,"Closed late","Closed on time"),IF(Settings!$B$4&gt;R55,"Open: overdue","Open")))</f>
        <v/>
      </c>
      <c r="AA55" s="41">
        <f>IF(B55="","",IF(NETWORKDAYS(B55,C55)-1&gt;Settings!$B$5,"Logged late",IF(AND(L55="Escalated",M55=""),"Escalate to Compliance",IF(AND(L55="Escalated",N55=""),"Notify Sponsor Bank",IF(AND(L55="Escalated",N55&lt;&gt;"",NETWORKDAYS(B55,N55)-1&gt;Settings!$B$10),"Sponsor Bank notified late",IF(AND(K55&lt;&gt;"",K55&lt;&gt;"None",Q55=""),"Enter the legal deadline",IF(AND(S55&lt;&gt;"",OR(T55="",V55="")),"Record outcome and root cause",IF(AND(P55="",S55="",Settings!$B$4&gt;O55),"Acknowledgment overdue",""))))))))</f>
        <v/>
      </c>
    </row>
    <row r="56" ht="15.75" customHeight="1" s="31">
      <c r="A56" s="44" t="n"/>
      <c r="B56" s="45" t="n"/>
      <c r="C56" s="45" t="n"/>
      <c r="D56" s="44" t="n"/>
      <c r="E56" s="44" t="n"/>
      <c r="F56" s="44" t="n"/>
      <c r="G56" s="44" t="n"/>
      <c r="H56" s="44" t="n"/>
      <c r="I56" s="44" t="n"/>
      <c r="J56" s="44" t="n"/>
      <c r="K56" s="44" t="n"/>
      <c r="L56" s="41">
        <f>IF(B56="","",IF(OR(COUNTIF(Settings!$E$4:$E$9,D56)&gt;0,I56="Yes",J56="Yes",K56="Fair lending allegation"),"Escalated","Standard"))</f>
        <v/>
      </c>
      <c r="M56" s="45" t="n"/>
      <c r="N56" s="45" t="n"/>
      <c r="O56" s="42">
        <f>IF(B56="","",WORKDAY(B56,Settings!$B$7))</f>
        <v/>
      </c>
      <c r="P56" s="45" t="n"/>
      <c r="Q56" s="45" t="n"/>
      <c r="R56" s="42">
        <f>IF(B56="","",IF(Q56&lt;&gt;"",MIN(Q56,IF(L56="Escalated",B56+Settings!$B$9,WORKDAY(B56,Settings!$B$8))),IF(L56="Escalated",B56+Settings!$B$9,WORKDAY(B56,Settings!$B$8))))</f>
        <v/>
      </c>
      <c r="S56" s="45" t="n"/>
      <c r="T56" s="44" t="n"/>
      <c r="U56" s="46" t="n"/>
      <c r="V56" s="44" t="n"/>
      <c r="W56" s="44" t="n"/>
      <c r="X56" s="44" t="n"/>
      <c r="Y56" s="41">
        <f>IF(B56="","",IF(S56&lt;&gt;"",S56,Settings!$B$4)-B56)</f>
        <v/>
      </c>
      <c r="Z56" s="41">
        <f>IF(B56="","",IF(S56&lt;&gt;"",IF(S56&gt;R56,"Closed late","Closed on time"),IF(Settings!$B$4&gt;R56,"Open: overdue","Open")))</f>
        <v/>
      </c>
      <c r="AA56" s="41">
        <f>IF(B56="","",IF(NETWORKDAYS(B56,C56)-1&gt;Settings!$B$5,"Logged late",IF(AND(L56="Escalated",M56=""),"Escalate to Compliance",IF(AND(L56="Escalated",N56=""),"Notify Sponsor Bank",IF(AND(L56="Escalated",N56&lt;&gt;"",NETWORKDAYS(B56,N56)-1&gt;Settings!$B$10),"Sponsor Bank notified late",IF(AND(K56&lt;&gt;"",K56&lt;&gt;"None",Q56=""),"Enter the legal deadline",IF(AND(S56&lt;&gt;"",OR(T56="",V56="")),"Record outcome and root cause",IF(AND(P56="",S56="",Settings!$B$4&gt;O56),"Acknowledgment overdue",""))))))))</f>
        <v/>
      </c>
    </row>
    <row r="57" ht="15.75" customHeight="1" s="31">
      <c r="A57" s="44" t="n"/>
      <c r="B57" s="45" t="n"/>
      <c r="C57" s="45" t="n"/>
      <c r="D57" s="44" t="n"/>
      <c r="E57" s="44" t="n"/>
      <c r="F57" s="44" t="n"/>
      <c r="G57" s="44" t="n"/>
      <c r="H57" s="44" t="n"/>
      <c r="I57" s="44" t="n"/>
      <c r="J57" s="44" t="n"/>
      <c r="K57" s="44" t="n"/>
      <c r="L57" s="41">
        <f>IF(B57="","",IF(OR(COUNTIF(Settings!$E$4:$E$9,D57)&gt;0,I57="Yes",J57="Yes",K57="Fair lending allegation"),"Escalated","Standard"))</f>
        <v/>
      </c>
      <c r="M57" s="45" t="n"/>
      <c r="N57" s="45" t="n"/>
      <c r="O57" s="42">
        <f>IF(B57="","",WORKDAY(B57,Settings!$B$7))</f>
        <v/>
      </c>
      <c r="P57" s="45" t="n"/>
      <c r="Q57" s="45" t="n"/>
      <c r="R57" s="42">
        <f>IF(B57="","",IF(Q57&lt;&gt;"",MIN(Q57,IF(L57="Escalated",B57+Settings!$B$9,WORKDAY(B57,Settings!$B$8))),IF(L57="Escalated",B57+Settings!$B$9,WORKDAY(B57,Settings!$B$8))))</f>
        <v/>
      </c>
      <c r="S57" s="45" t="n"/>
      <c r="T57" s="44" t="n"/>
      <c r="U57" s="46" t="n"/>
      <c r="V57" s="44" t="n"/>
      <c r="W57" s="44" t="n"/>
      <c r="X57" s="44" t="n"/>
      <c r="Y57" s="41">
        <f>IF(B57="","",IF(S57&lt;&gt;"",S57,Settings!$B$4)-B57)</f>
        <v/>
      </c>
      <c r="Z57" s="41">
        <f>IF(B57="","",IF(S57&lt;&gt;"",IF(S57&gt;R57,"Closed late","Closed on time"),IF(Settings!$B$4&gt;R57,"Open: overdue","Open")))</f>
        <v/>
      </c>
      <c r="AA57" s="41">
        <f>IF(B57="","",IF(NETWORKDAYS(B57,C57)-1&gt;Settings!$B$5,"Logged late",IF(AND(L57="Escalated",M57=""),"Escalate to Compliance",IF(AND(L57="Escalated",N57=""),"Notify Sponsor Bank",IF(AND(L57="Escalated",N57&lt;&gt;"",NETWORKDAYS(B57,N57)-1&gt;Settings!$B$10),"Sponsor Bank notified late",IF(AND(K57&lt;&gt;"",K57&lt;&gt;"None",Q57=""),"Enter the legal deadline",IF(AND(S57&lt;&gt;"",OR(T57="",V57="")),"Record outcome and root cause",IF(AND(P57="",S57="",Settings!$B$4&gt;O57),"Acknowledgment overdue",""))))))))</f>
        <v/>
      </c>
    </row>
    <row r="58" ht="15.75" customHeight="1" s="31">
      <c r="A58" s="44" t="n"/>
      <c r="B58" s="45" t="n"/>
      <c r="C58" s="45" t="n"/>
      <c r="D58" s="44" t="n"/>
      <c r="E58" s="44" t="n"/>
      <c r="F58" s="44" t="n"/>
      <c r="G58" s="44" t="n"/>
      <c r="H58" s="44" t="n"/>
      <c r="I58" s="44" t="n"/>
      <c r="J58" s="44" t="n"/>
      <c r="K58" s="44" t="n"/>
      <c r="L58" s="41">
        <f>IF(B58="","",IF(OR(COUNTIF(Settings!$E$4:$E$9,D58)&gt;0,I58="Yes",J58="Yes",K58="Fair lending allegation"),"Escalated","Standard"))</f>
        <v/>
      </c>
      <c r="M58" s="45" t="n"/>
      <c r="N58" s="45" t="n"/>
      <c r="O58" s="42">
        <f>IF(B58="","",WORKDAY(B58,Settings!$B$7))</f>
        <v/>
      </c>
      <c r="P58" s="45" t="n"/>
      <c r="Q58" s="45" t="n"/>
      <c r="R58" s="42">
        <f>IF(B58="","",IF(Q58&lt;&gt;"",MIN(Q58,IF(L58="Escalated",B58+Settings!$B$9,WORKDAY(B58,Settings!$B$8))),IF(L58="Escalated",B58+Settings!$B$9,WORKDAY(B58,Settings!$B$8))))</f>
        <v/>
      </c>
      <c r="S58" s="45" t="n"/>
      <c r="T58" s="44" t="n"/>
      <c r="U58" s="46" t="n"/>
      <c r="V58" s="44" t="n"/>
      <c r="W58" s="44" t="n"/>
      <c r="X58" s="44" t="n"/>
      <c r="Y58" s="41">
        <f>IF(B58="","",IF(S58&lt;&gt;"",S58,Settings!$B$4)-B58)</f>
        <v/>
      </c>
      <c r="Z58" s="41">
        <f>IF(B58="","",IF(S58&lt;&gt;"",IF(S58&gt;R58,"Closed late","Closed on time"),IF(Settings!$B$4&gt;R58,"Open: overdue","Open")))</f>
        <v/>
      </c>
      <c r="AA58" s="41">
        <f>IF(B58="","",IF(NETWORKDAYS(B58,C58)-1&gt;Settings!$B$5,"Logged late",IF(AND(L58="Escalated",M58=""),"Escalate to Compliance",IF(AND(L58="Escalated",N58=""),"Notify Sponsor Bank",IF(AND(L58="Escalated",N58&lt;&gt;"",NETWORKDAYS(B58,N58)-1&gt;Settings!$B$10),"Sponsor Bank notified late",IF(AND(K58&lt;&gt;"",K58&lt;&gt;"None",Q58=""),"Enter the legal deadline",IF(AND(S58&lt;&gt;"",OR(T58="",V58="")),"Record outcome and root cause",IF(AND(P58="",S58="",Settings!$B$4&gt;O58),"Acknowledgment overdue",""))))))))</f>
        <v/>
      </c>
    </row>
    <row r="59" ht="15.75" customHeight="1" s="31">
      <c r="A59" s="44" t="n"/>
      <c r="B59" s="45" t="n"/>
      <c r="C59" s="45" t="n"/>
      <c r="D59" s="44" t="n"/>
      <c r="E59" s="44" t="n"/>
      <c r="F59" s="44" t="n"/>
      <c r="G59" s="44" t="n"/>
      <c r="H59" s="44" t="n"/>
      <c r="I59" s="44" t="n"/>
      <c r="J59" s="44" t="n"/>
      <c r="K59" s="44" t="n"/>
      <c r="L59" s="41">
        <f>IF(B59="","",IF(OR(COUNTIF(Settings!$E$4:$E$9,D59)&gt;0,I59="Yes",J59="Yes",K59="Fair lending allegation"),"Escalated","Standard"))</f>
        <v/>
      </c>
      <c r="M59" s="45" t="n"/>
      <c r="N59" s="45" t="n"/>
      <c r="O59" s="42">
        <f>IF(B59="","",WORKDAY(B59,Settings!$B$7))</f>
        <v/>
      </c>
      <c r="P59" s="45" t="n"/>
      <c r="Q59" s="45" t="n"/>
      <c r="R59" s="42">
        <f>IF(B59="","",IF(Q59&lt;&gt;"",MIN(Q59,IF(L59="Escalated",B59+Settings!$B$9,WORKDAY(B59,Settings!$B$8))),IF(L59="Escalated",B59+Settings!$B$9,WORKDAY(B59,Settings!$B$8))))</f>
        <v/>
      </c>
      <c r="S59" s="45" t="n"/>
      <c r="T59" s="44" t="n"/>
      <c r="U59" s="46" t="n"/>
      <c r="V59" s="44" t="n"/>
      <c r="W59" s="44" t="n"/>
      <c r="X59" s="44" t="n"/>
      <c r="Y59" s="41">
        <f>IF(B59="","",IF(S59&lt;&gt;"",S59,Settings!$B$4)-B59)</f>
        <v/>
      </c>
      <c r="Z59" s="41">
        <f>IF(B59="","",IF(S59&lt;&gt;"",IF(S59&gt;R59,"Closed late","Closed on time"),IF(Settings!$B$4&gt;R59,"Open: overdue","Open")))</f>
        <v/>
      </c>
      <c r="AA59" s="41">
        <f>IF(B59="","",IF(NETWORKDAYS(B59,C59)-1&gt;Settings!$B$5,"Logged late",IF(AND(L59="Escalated",M59=""),"Escalate to Compliance",IF(AND(L59="Escalated",N59=""),"Notify Sponsor Bank",IF(AND(L59="Escalated",N59&lt;&gt;"",NETWORKDAYS(B59,N59)-1&gt;Settings!$B$10),"Sponsor Bank notified late",IF(AND(K59&lt;&gt;"",K59&lt;&gt;"None",Q59=""),"Enter the legal deadline",IF(AND(S59&lt;&gt;"",OR(T59="",V59="")),"Record outcome and root cause",IF(AND(P59="",S59="",Settings!$B$4&gt;O59),"Acknowledgment overdue",""))))))))</f>
        <v/>
      </c>
    </row>
    <row r="60" ht="15.75" customHeight="1" s="31">
      <c r="A60" s="44" t="n"/>
      <c r="B60" s="45" t="n"/>
      <c r="C60" s="45" t="n"/>
      <c r="D60" s="44" t="n"/>
      <c r="E60" s="44" t="n"/>
      <c r="F60" s="44" t="n"/>
      <c r="G60" s="44" t="n"/>
      <c r="H60" s="44" t="n"/>
      <c r="I60" s="44" t="n"/>
      <c r="J60" s="44" t="n"/>
      <c r="K60" s="44" t="n"/>
      <c r="L60" s="41">
        <f>IF(B60="","",IF(OR(COUNTIF(Settings!$E$4:$E$9,D60)&gt;0,I60="Yes",J60="Yes",K60="Fair lending allegation"),"Escalated","Standard"))</f>
        <v/>
      </c>
      <c r="M60" s="45" t="n"/>
      <c r="N60" s="45" t="n"/>
      <c r="O60" s="42">
        <f>IF(B60="","",WORKDAY(B60,Settings!$B$7))</f>
        <v/>
      </c>
      <c r="P60" s="45" t="n"/>
      <c r="Q60" s="45" t="n"/>
      <c r="R60" s="42">
        <f>IF(B60="","",IF(Q60&lt;&gt;"",MIN(Q60,IF(L60="Escalated",B60+Settings!$B$9,WORKDAY(B60,Settings!$B$8))),IF(L60="Escalated",B60+Settings!$B$9,WORKDAY(B60,Settings!$B$8))))</f>
        <v/>
      </c>
      <c r="S60" s="45" t="n"/>
      <c r="T60" s="44" t="n"/>
      <c r="U60" s="46" t="n"/>
      <c r="V60" s="44" t="n"/>
      <c r="W60" s="44" t="n"/>
      <c r="X60" s="44" t="n"/>
      <c r="Y60" s="41">
        <f>IF(B60="","",IF(S60&lt;&gt;"",S60,Settings!$B$4)-B60)</f>
        <v/>
      </c>
      <c r="Z60" s="41">
        <f>IF(B60="","",IF(S60&lt;&gt;"",IF(S60&gt;R60,"Closed late","Closed on time"),IF(Settings!$B$4&gt;R60,"Open: overdue","Open")))</f>
        <v/>
      </c>
      <c r="AA60" s="41">
        <f>IF(B60="","",IF(NETWORKDAYS(B60,C60)-1&gt;Settings!$B$5,"Logged late",IF(AND(L60="Escalated",M60=""),"Escalate to Compliance",IF(AND(L60="Escalated",N60=""),"Notify Sponsor Bank",IF(AND(L60="Escalated",N60&lt;&gt;"",NETWORKDAYS(B60,N60)-1&gt;Settings!$B$10),"Sponsor Bank notified late",IF(AND(K60&lt;&gt;"",K60&lt;&gt;"None",Q60=""),"Enter the legal deadline",IF(AND(S60&lt;&gt;"",OR(T60="",V60="")),"Record outcome and root cause",IF(AND(P60="",S60="",Settings!$B$4&gt;O60),"Acknowledgment overdue",""))))))))</f>
        <v/>
      </c>
    </row>
    <row r="61" ht="15.75" customHeight="1" s="31">
      <c r="A61" s="44" t="n"/>
      <c r="B61" s="45" t="n"/>
      <c r="C61" s="45" t="n"/>
      <c r="D61" s="44" t="n"/>
      <c r="E61" s="44" t="n"/>
      <c r="F61" s="44" t="n"/>
      <c r="G61" s="44" t="n"/>
      <c r="H61" s="44" t="n"/>
      <c r="I61" s="44" t="n"/>
      <c r="J61" s="44" t="n"/>
      <c r="K61" s="44" t="n"/>
      <c r="L61" s="41">
        <f>IF(B61="","",IF(OR(COUNTIF(Settings!$E$4:$E$9,D61)&gt;0,I61="Yes",J61="Yes",K61="Fair lending allegation"),"Escalated","Standard"))</f>
        <v/>
      </c>
      <c r="M61" s="45" t="n"/>
      <c r="N61" s="45" t="n"/>
      <c r="O61" s="42">
        <f>IF(B61="","",WORKDAY(B61,Settings!$B$7))</f>
        <v/>
      </c>
      <c r="P61" s="45" t="n"/>
      <c r="Q61" s="45" t="n"/>
      <c r="R61" s="42">
        <f>IF(B61="","",IF(Q61&lt;&gt;"",MIN(Q61,IF(L61="Escalated",B61+Settings!$B$9,WORKDAY(B61,Settings!$B$8))),IF(L61="Escalated",B61+Settings!$B$9,WORKDAY(B61,Settings!$B$8))))</f>
        <v/>
      </c>
      <c r="S61" s="45" t="n"/>
      <c r="T61" s="44" t="n"/>
      <c r="U61" s="46" t="n"/>
      <c r="V61" s="44" t="n"/>
      <c r="W61" s="44" t="n"/>
      <c r="X61" s="44" t="n"/>
      <c r="Y61" s="41">
        <f>IF(B61="","",IF(S61&lt;&gt;"",S61,Settings!$B$4)-B61)</f>
        <v/>
      </c>
      <c r="Z61" s="41">
        <f>IF(B61="","",IF(S61&lt;&gt;"",IF(S61&gt;R61,"Closed late","Closed on time"),IF(Settings!$B$4&gt;R61,"Open: overdue","Open")))</f>
        <v/>
      </c>
      <c r="AA61" s="41">
        <f>IF(B61="","",IF(NETWORKDAYS(B61,C61)-1&gt;Settings!$B$5,"Logged late",IF(AND(L61="Escalated",M61=""),"Escalate to Compliance",IF(AND(L61="Escalated",N61=""),"Notify Sponsor Bank",IF(AND(L61="Escalated",N61&lt;&gt;"",NETWORKDAYS(B61,N61)-1&gt;Settings!$B$10),"Sponsor Bank notified late",IF(AND(K61&lt;&gt;"",K61&lt;&gt;"None",Q61=""),"Enter the legal deadline",IF(AND(S61&lt;&gt;"",OR(T61="",V61="")),"Record outcome and root cause",IF(AND(P61="",S61="",Settings!$B$4&gt;O61),"Acknowledgment overdue",""))))))))</f>
        <v/>
      </c>
    </row>
    <row r="62" ht="15.75" customHeight="1" s="31">
      <c r="A62" s="44" t="n"/>
      <c r="B62" s="45" t="n"/>
      <c r="C62" s="45" t="n"/>
      <c r="D62" s="44" t="n"/>
      <c r="E62" s="44" t="n"/>
      <c r="F62" s="44" t="n"/>
      <c r="G62" s="44" t="n"/>
      <c r="H62" s="44" t="n"/>
      <c r="I62" s="44" t="n"/>
      <c r="J62" s="44" t="n"/>
      <c r="K62" s="44" t="n"/>
      <c r="L62" s="41">
        <f>IF(B62="","",IF(OR(COUNTIF(Settings!$E$4:$E$9,D62)&gt;0,I62="Yes",J62="Yes",K62="Fair lending allegation"),"Escalated","Standard"))</f>
        <v/>
      </c>
      <c r="M62" s="45" t="n"/>
      <c r="N62" s="45" t="n"/>
      <c r="O62" s="42">
        <f>IF(B62="","",WORKDAY(B62,Settings!$B$7))</f>
        <v/>
      </c>
      <c r="P62" s="45" t="n"/>
      <c r="Q62" s="45" t="n"/>
      <c r="R62" s="42">
        <f>IF(B62="","",IF(Q62&lt;&gt;"",MIN(Q62,IF(L62="Escalated",B62+Settings!$B$9,WORKDAY(B62,Settings!$B$8))),IF(L62="Escalated",B62+Settings!$B$9,WORKDAY(B62,Settings!$B$8))))</f>
        <v/>
      </c>
      <c r="S62" s="45" t="n"/>
      <c r="T62" s="44" t="n"/>
      <c r="U62" s="46" t="n"/>
      <c r="V62" s="44" t="n"/>
      <c r="W62" s="44" t="n"/>
      <c r="X62" s="44" t="n"/>
      <c r="Y62" s="41">
        <f>IF(B62="","",IF(S62&lt;&gt;"",S62,Settings!$B$4)-B62)</f>
        <v/>
      </c>
      <c r="Z62" s="41">
        <f>IF(B62="","",IF(S62&lt;&gt;"",IF(S62&gt;R62,"Closed late","Closed on time"),IF(Settings!$B$4&gt;R62,"Open: overdue","Open")))</f>
        <v/>
      </c>
      <c r="AA62" s="41">
        <f>IF(B62="","",IF(NETWORKDAYS(B62,C62)-1&gt;Settings!$B$5,"Logged late",IF(AND(L62="Escalated",M62=""),"Escalate to Compliance",IF(AND(L62="Escalated",N62=""),"Notify Sponsor Bank",IF(AND(L62="Escalated",N62&lt;&gt;"",NETWORKDAYS(B62,N62)-1&gt;Settings!$B$10),"Sponsor Bank notified late",IF(AND(K62&lt;&gt;"",K62&lt;&gt;"None",Q62=""),"Enter the legal deadline",IF(AND(S62&lt;&gt;"",OR(T62="",V62="")),"Record outcome and root cause",IF(AND(P62="",S62="",Settings!$B$4&gt;O62),"Acknowledgment overdue",""))))))))</f>
        <v/>
      </c>
    </row>
    <row r="63" ht="15.75" customHeight="1" s="31">
      <c r="A63" s="44" t="n"/>
      <c r="B63" s="45" t="n"/>
      <c r="C63" s="45" t="n"/>
      <c r="D63" s="44" t="n"/>
      <c r="E63" s="44" t="n"/>
      <c r="F63" s="44" t="n"/>
      <c r="G63" s="44" t="n"/>
      <c r="H63" s="44" t="n"/>
      <c r="I63" s="44" t="n"/>
      <c r="J63" s="44" t="n"/>
      <c r="K63" s="44" t="n"/>
      <c r="L63" s="41">
        <f>IF(B63="","",IF(OR(COUNTIF(Settings!$E$4:$E$9,D63)&gt;0,I63="Yes",J63="Yes",K63="Fair lending allegation"),"Escalated","Standard"))</f>
        <v/>
      </c>
      <c r="M63" s="45" t="n"/>
      <c r="N63" s="45" t="n"/>
      <c r="O63" s="42">
        <f>IF(B63="","",WORKDAY(B63,Settings!$B$7))</f>
        <v/>
      </c>
      <c r="P63" s="45" t="n"/>
      <c r="Q63" s="45" t="n"/>
      <c r="R63" s="42">
        <f>IF(B63="","",IF(Q63&lt;&gt;"",MIN(Q63,IF(L63="Escalated",B63+Settings!$B$9,WORKDAY(B63,Settings!$B$8))),IF(L63="Escalated",B63+Settings!$B$9,WORKDAY(B63,Settings!$B$8))))</f>
        <v/>
      </c>
      <c r="S63" s="45" t="n"/>
      <c r="T63" s="44" t="n"/>
      <c r="U63" s="46" t="n"/>
      <c r="V63" s="44" t="n"/>
      <c r="W63" s="44" t="n"/>
      <c r="X63" s="44" t="n"/>
      <c r="Y63" s="41">
        <f>IF(B63="","",IF(S63&lt;&gt;"",S63,Settings!$B$4)-B63)</f>
        <v/>
      </c>
      <c r="Z63" s="41">
        <f>IF(B63="","",IF(S63&lt;&gt;"",IF(S63&gt;R63,"Closed late","Closed on time"),IF(Settings!$B$4&gt;R63,"Open: overdue","Open")))</f>
        <v/>
      </c>
      <c r="AA63" s="41">
        <f>IF(B63="","",IF(NETWORKDAYS(B63,C63)-1&gt;Settings!$B$5,"Logged late",IF(AND(L63="Escalated",M63=""),"Escalate to Compliance",IF(AND(L63="Escalated",N63=""),"Notify Sponsor Bank",IF(AND(L63="Escalated",N63&lt;&gt;"",NETWORKDAYS(B63,N63)-1&gt;Settings!$B$10),"Sponsor Bank notified late",IF(AND(K63&lt;&gt;"",K63&lt;&gt;"None",Q63=""),"Enter the legal deadline",IF(AND(S63&lt;&gt;"",OR(T63="",V63="")),"Record outcome and root cause",IF(AND(P63="",S63="",Settings!$B$4&gt;O63),"Acknowledgment overdue",""))))))))</f>
        <v/>
      </c>
    </row>
    <row r="64" ht="15.75" customHeight="1" s="31">
      <c r="A64" s="44" t="n"/>
      <c r="B64" s="45" t="n"/>
      <c r="C64" s="45" t="n"/>
      <c r="D64" s="44" t="n"/>
      <c r="E64" s="44" t="n"/>
      <c r="F64" s="44" t="n"/>
      <c r="G64" s="44" t="n"/>
      <c r="H64" s="44" t="n"/>
      <c r="I64" s="44" t="n"/>
      <c r="J64" s="44" t="n"/>
      <c r="K64" s="44" t="n"/>
      <c r="L64" s="41">
        <f>IF(B64="","",IF(OR(COUNTIF(Settings!$E$4:$E$9,D64)&gt;0,I64="Yes",J64="Yes",K64="Fair lending allegation"),"Escalated","Standard"))</f>
        <v/>
      </c>
      <c r="M64" s="45" t="n"/>
      <c r="N64" s="45" t="n"/>
      <c r="O64" s="42">
        <f>IF(B64="","",WORKDAY(B64,Settings!$B$7))</f>
        <v/>
      </c>
      <c r="P64" s="45" t="n"/>
      <c r="Q64" s="45" t="n"/>
      <c r="R64" s="42">
        <f>IF(B64="","",IF(Q64&lt;&gt;"",MIN(Q64,IF(L64="Escalated",B64+Settings!$B$9,WORKDAY(B64,Settings!$B$8))),IF(L64="Escalated",B64+Settings!$B$9,WORKDAY(B64,Settings!$B$8))))</f>
        <v/>
      </c>
      <c r="S64" s="45" t="n"/>
      <c r="T64" s="44" t="n"/>
      <c r="U64" s="46" t="n"/>
      <c r="V64" s="44" t="n"/>
      <c r="W64" s="44" t="n"/>
      <c r="X64" s="44" t="n"/>
      <c r="Y64" s="41">
        <f>IF(B64="","",IF(S64&lt;&gt;"",S64,Settings!$B$4)-B64)</f>
        <v/>
      </c>
      <c r="Z64" s="41">
        <f>IF(B64="","",IF(S64&lt;&gt;"",IF(S64&gt;R64,"Closed late","Closed on time"),IF(Settings!$B$4&gt;R64,"Open: overdue","Open")))</f>
        <v/>
      </c>
      <c r="AA64" s="41">
        <f>IF(B64="","",IF(NETWORKDAYS(B64,C64)-1&gt;Settings!$B$5,"Logged late",IF(AND(L64="Escalated",M64=""),"Escalate to Compliance",IF(AND(L64="Escalated",N64=""),"Notify Sponsor Bank",IF(AND(L64="Escalated",N64&lt;&gt;"",NETWORKDAYS(B64,N64)-1&gt;Settings!$B$10),"Sponsor Bank notified late",IF(AND(K64&lt;&gt;"",K64&lt;&gt;"None",Q64=""),"Enter the legal deadline",IF(AND(S64&lt;&gt;"",OR(T64="",V64="")),"Record outcome and root cause",IF(AND(P64="",S64="",Settings!$B$4&gt;O64),"Acknowledgment overdue",""))))))))</f>
        <v/>
      </c>
    </row>
    <row r="65" ht="15.75" customHeight="1" s="31">
      <c r="A65" s="44" t="n"/>
      <c r="B65" s="45" t="n"/>
      <c r="C65" s="45" t="n"/>
      <c r="D65" s="44" t="n"/>
      <c r="E65" s="44" t="n"/>
      <c r="F65" s="44" t="n"/>
      <c r="G65" s="44" t="n"/>
      <c r="H65" s="44" t="n"/>
      <c r="I65" s="44" t="n"/>
      <c r="J65" s="44" t="n"/>
      <c r="K65" s="44" t="n"/>
      <c r="L65" s="41">
        <f>IF(B65="","",IF(OR(COUNTIF(Settings!$E$4:$E$9,D65)&gt;0,I65="Yes",J65="Yes",K65="Fair lending allegation"),"Escalated","Standard"))</f>
        <v/>
      </c>
      <c r="M65" s="45" t="n"/>
      <c r="N65" s="45" t="n"/>
      <c r="O65" s="42">
        <f>IF(B65="","",WORKDAY(B65,Settings!$B$7))</f>
        <v/>
      </c>
      <c r="P65" s="45" t="n"/>
      <c r="Q65" s="45" t="n"/>
      <c r="R65" s="42">
        <f>IF(B65="","",IF(Q65&lt;&gt;"",MIN(Q65,IF(L65="Escalated",B65+Settings!$B$9,WORKDAY(B65,Settings!$B$8))),IF(L65="Escalated",B65+Settings!$B$9,WORKDAY(B65,Settings!$B$8))))</f>
        <v/>
      </c>
      <c r="S65" s="45" t="n"/>
      <c r="T65" s="44" t="n"/>
      <c r="U65" s="46" t="n"/>
      <c r="V65" s="44" t="n"/>
      <c r="W65" s="44" t="n"/>
      <c r="X65" s="44" t="n"/>
      <c r="Y65" s="41">
        <f>IF(B65="","",IF(S65&lt;&gt;"",S65,Settings!$B$4)-B65)</f>
        <v/>
      </c>
      <c r="Z65" s="41">
        <f>IF(B65="","",IF(S65&lt;&gt;"",IF(S65&gt;R65,"Closed late","Closed on time"),IF(Settings!$B$4&gt;R65,"Open: overdue","Open")))</f>
        <v/>
      </c>
      <c r="AA65" s="41">
        <f>IF(B65="","",IF(NETWORKDAYS(B65,C65)-1&gt;Settings!$B$5,"Logged late",IF(AND(L65="Escalated",M65=""),"Escalate to Compliance",IF(AND(L65="Escalated",N65=""),"Notify Sponsor Bank",IF(AND(L65="Escalated",N65&lt;&gt;"",NETWORKDAYS(B65,N65)-1&gt;Settings!$B$10),"Sponsor Bank notified late",IF(AND(K65&lt;&gt;"",K65&lt;&gt;"None",Q65=""),"Enter the legal deadline",IF(AND(S65&lt;&gt;"",OR(T65="",V65="")),"Record outcome and root cause",IF(AND(P65="",S65="",Settings!$B$4&gt;O65),"Acknowledgment overdue",""))))))))</f>
        <v/>
      </c>
    </row>
    <row r="66" ht="15.75" customHeight="1" s="31">
      <c r="A66" s="44" t="n"/>
      <c r="B66" s="45" t="n"/>
      <c r="C66" s="45" t="n"/>
      <c r="D66" s="44" t="n"/>
      <c r="E66" s="44" t="n"/>
      <c r="F66" s="44" t="n"/>
      <c r="G66" s="44" t="n"/>
      <c r="H66" s="44" t="n"/>
      <c r="I66" s="44" t="n"/>
      <c r="J66" s="44" t="n"/>
      <c r="K66" s="44" t="n"/>
      <c r="L66" s="41">
        <f>IF(B66="","",IF(OR(COUNTIF(Settings!$E$4:$E$9,D66)&gt;0,I66="Yes",J66="Yes",K66="Fair lending allegation"),"Escalated","Standard"))</f>
        <v/>
      </c>
      <c r="M66" s="45" t="n"/>
      <c r="N66" s="45" t="n"/>
      <c r="O66" s="42">
        <f>IF(B66="","",WORKDAY(B66,Settings!$B$7))</f>
        <v/>
      </c>
      <c r="P66" s="45" t="n"/>
      <c r="Q66" s="45" t="n"/>
      <c r="R66" s="42">
        <f>IF(B66="","",IF(Q66&lt;&gt;"",MIN(Q66,IF(L66="Escalated",B66+Settings!$B$9,WORKDAY(B66,Settings!$B$8))),IF(L66="Escalated",B66+Settings!$B$9,WORKDAY(B66,Settings!$B$8))))</f>
        <v/>
      </c>
      <c r="S66" s="45" t="n"/>
      <c r="T66" s="44" t="n"/>
      <c r="U66" s="46" t="n"/>
      <c r="V66" s="44" t="n"/>
      <c r="W66" s="44" t="n"/>
      <c r="X66" s="44" t="n"/>
      <c r="Y66" s="41">
        <f>IF(B66="","",IF(S66&lt;&gt;"",S66,Settings!$B$4)-B66)</f>
        <v/>
      </c>
      <c r="Z66" s="41">
        <f>IF(B66="","",IF(S66&lt;&gt;"",IF(S66&gt;R66,"Closed late","Closed on time"),IF(Settings!$B$4&gt;R66,"Open: overdue","Open")))</f>
        <v/>
      </c>
      <c r="AA66" s="41">
        <f>IF(B66="","",IF(NETWORKDAYS(B66,C66)-1&gt;Settings!$B$5,"Logged late",IF(AND(L66="Escalated",M66=""),"Escalate to Compliance",IF(AND(L66="Escalated",N66=""),"Notify Sponsor Bank",IF(AND(L66="Escalated",N66&lt;&gt;"",NETWORKDAYS(B66,N66)-1&gt;Settings!$B$10),"Sponsor Bank notified late",IF(AND(K66&lt;&gt;"",K66&lt;&gt;"None",Q66=""),"Enter the legal deadline",IF(AND(S66&lt;&gt;"",OR(T66="",V66="")),"Record outcome and root cause",IF(AND(P66="",S66="",Settings!$B$4&gt;O66),"Acknowledgment overdue",""))))))))</f>
        <v/>
      </c>
    </row>
    <row r="67" ht="15.75" customHeight="1" s="31">
      <c r="A67" s="44" t="n"/>
      <c r="B67" s="45" t="n"/>
      <c r="C67" s="45" t="n"/>
      <c r="D67" s="44" t="n"/>
      <c r="E67" s="44" t="n"/>
      <c r="F67" s="44" t="n"/>
      <c r="G67" s="44" t="n"/>
      <c r="H67" s="44" t="n"/>
      <c r="I67" s="44" t="n"/>
      <c r="J67" s="44" t="n"/>
      <c r="K67" s="44" t="n"/>
      <c r="L67" s="41">
        <f>IF(B67="","",IF(OR(COUNTIF(Settings!$E$4:$E$9,D67)&gt;0,I67="Yes",J67="Yes",K67="Fair lending allegation"),"Escalated","Standard"))</f>
        <v/>
      </c>
      <c r="M67" s="45" t="n"/>
      <c r="N67" s="45" t="n"/>
      <c r="O67" s="42">
        <f>IF(B67="","",WORKDAY(B67,Settings!$B$7))</f>
        <v/>
      </c>
      <c r="P67" s="45" t="n"/>
      <c r="Q67" s="45" t="n"/>
      <c r="R67" s="42">
        <f>IF(B67="","",IF(Q67&lt;&gt;"",MIN(Q67,IF(L67="Escalated",B67+Settings!$B$9,WORKDAY(B67,Settings!$B$8))),IF(L67="Escalated",B67+Settings!$B$9,WORKDAY(B67,Settings!$B$8))))</f>
        <v/>
      </c>
      <c r="S67" s="45" t="n"/>
      <c r="T67" s="44" t="n"/>
      <c r="U67" s="46" t="n"/>
      <c r="V67" s="44" t="n"/>
      <c r="W67" s="44" t="n"/>
      <c r="X67" s="44" t="n"/>
      <c r="Y67" s="41">
        <f>IF(B67="","",IF(S67&lt;&gt;"",S67,Settings!$B$4)-B67)</f>
        <v/>
      </c>
      <c r="Z67" s="41">
        <f>IF(B67="","",IF(S67&lt;&gt;"",IF(S67&gt;R67,"Closed late","Closed on time"),IF(Settings!$B$4&gt;R67,"Open: overdue","Open")))</f>
        <v/>
      </c>
      <c r="AA67" s="41">
        <f>IF(B67="","",IF(NETWORKDAYS(B67,C67)-1&gt;Settings!$B$5,"Logged late",IF(AND(L67="Escalated",M67=""),"Escalate to Compliance",IF(AND(L67="Escalated",N67=""),"Notify Sponsor Bank",IF(AND(L67="Escalated",N67&lt;&gt;"",NETWORKDAYS(B67,N67)-1&gt;Settings!$B$10),"Sponsor Bank notified late",IF(AND(K67&lt;&gt;"",K67&lt;&gt;"None",Q67=""),"Enter the legal deadline",IF(AND(S67&lt;&gt;"",OR(T67="",V67="")),"Record outcome and root cause",IF(AND(P67="",S67="",Settings!$B$4&gt;O67),"Acknowledgment overdue",""))))))))</f>
        <v/>
      </c>
    </row>
    <row r="68" ht="15.75" customHeight="1" s="31">
      <c r="A68" s="44" t="n"/>
      <c r="B68" s="45" t="n"/>
      <c r="C68" s="45" t="n"/>
      <c r="D68" s="44" t="n"/>
      <c r="E68" s="44" t="n"/>
      <c r="F68" s="44" t="n"/>
      <c r="G68" s="44" t="n"/>
      <c r="H68" s="44" t="n"/>
      <c r="I68" s="44" t="n"/>
      <c r="J68" s="44" t="n"/>
      <c r="K68" s="44" t="n"/>
      <c r="L68" s="41">
        <f>IF(B68="","",IF(OR(COUNTIF(Settings!$E$4:$E$9,D68)&gt;0,I68="Yes",J68="Yes",K68="Fair lending allegation"),"Escalated","Standard"))</f>
        <v/>
      </c>
      <c r="M68" s="45" t="n"/>
      <c r="N68" s="45" t="n"/>
      <c r="O68" s="42">
        <f>IF(B68="","",WORKDAY(B68,Settings!$B$7))</f>
        <v/>
      </c>
      <c r="P68" s="45" t="n"/>
      <c r="Q68" s="45" t="n"/>
      <c r="R68" s="42">
        <f>IF(B68="","",IF(Q68&lt;&gt;"",MIN(Q68,IF(L68="Escalated",B68+Settings!$B$9,WORKDAY(B68,Settings!$B$8))),IF(L68="Escalated",B68+Settings!$B$9,WORKDAY(B68,Settings!$B$8))))</f>
        <v/>
      </c>
      <c r="S68" s="45" t="n"/>
      <c r="T68" s="44" t="n"/>
      <c r="U68" s="46" t="n"/>
      <c r="V68" s="44" t="n"/>
      <c r="W68" s="44" t="n"/>
      <c r="X68" s="44" t="n"/>
      <c r="Y68" s="41">
        <f>IF(B68="","",IF(S68&lt;&gt;"",S68,Settings!$B$4)-B68)</f>
        <v/>
      </c>
      <c r="Z68" s="41">
        <f>IF(B68="","",IF(S68&lt;&gt;"",IF(S68&gt;R68,"Closed late","Closed on time"),IF(Settings!$B$4&gt;R68,"Open: overdue","Open")))</f>
        <v/>
      </c>
      <c r="AA68" s="41">
        <f>IF(B68="","",IF(NETWORKDAYS(B68,C68)-1&gt;Settings!$B$5,"Logged late",IF(AND(L68="Escalated",M68=""),"Escalate to Compliance",IF(AND(L68="Escalated",N68=""),"Notify Sponsor Bank",IF(AND(L68="Escalated",N68&lt;&gt;"",NETWORKDAYS(B68,N68)-1&gt;Settings!$B$10),"Sponsor Bank notified late",IF(AND(K68&lt;&gt;"",K68&lt;&gt;"None",Q68=""),"Enter the legal deadline",IF(AND(S68&lt;&gt;"",OR(T68="",V68="")),"Record outcome and root cause",IF(AND(P68="",S68="",Settings!$B$4&gt;O68),"Acknowledgment overdue",""))))))))</f>
        <v/>
      </c>
    </row>
    <row r="69" ht="15.75" customHeight="1" s="31">
      <c r="A69" s="44" t="n"/>
      <c r="B69" s="45" t="n"/>
      <c r="C69" s="45" t="n"/>
      <c r="D69" s="44" t="n"/>
      <c r="E69" s="44" t="n"/>
      <c r="F69" s="44" t="n"/>
      <c r="G69" s="44" t="n"/>
      <c r="H69" s="44" t="n"/>
      <c r="I69" s="44" t="n"/>
      <c r="J69" s="44" t="n"/>
      <c r="K69" s="44" t="n"/>
      <c r="L69" s="41">
        <f>IF(B69="","",IF(OR(COUNTIF(Settings!$E$4:$E$9,D69)&gt;0,I69="Yes",J69="Yes",K69="Fair lending allegation"),"Escalated","Standard"))</f>
        <v/>
      </c>
      <c r="M69" s="45" t="n"/>
      <c r="N69" s="45" t="n"/>
      <c r="O69" s="42">
        <f>IF(B69="","",WORKDAY(B69,Settings!$B$7))</f>
        <v/>
      </c>
      <c r="P69" s="45" t="n"/>
      <c r="Q69" s="45" t="n"/>
      <c r="R69" s="42">
        <f>IF(B69="","",IF(Q69&lt;&gt;"",MIN(Q69,IF(L69="Escalated",B69+Settings!$B$9,WORKDAY(B69,Settings!$B$8))),IF(L69="Escalated",B69+Settings!$B$9,WORKDAY(B69,Settings!$B$8))))</f>
        <v/>
      </c>
      <c r="S69" s="45" t="n"/>
      <c r="T69" s="44" t="n"/>
      <c r="U69" s="46" t="n"/>
      <c r="V69" s="44" t="n"/>
      <c r="W69" s="44" t="n"/>
      <c r="X69" s="44" t="n"/>
      <c r="Y69" s="41">
        <f>IF(B69="","",IF(S69&lt;&gt;"",S69,Settings!$B$4)-B69)</f>
        <v/>
      </c>
      <c r="Z69" s="41">
        <f>IF(B69="","",IF(S69&lt;&gt;"",IF(S69&gt;R69,"Closed late","Closed on time"),IF(Settings!$B$4&gt;R69,"Open: overdue","Open")))</f>
        <v/>
      </c>
      <c r="AA69" s="41">
        <f>IF(B69="","",IF(NETWORKDAYS(B69,C69)-1&gt;Settings!$B$5,"Logged late",IF(AND(L69="Escalated",M69=""),"Escalate to Compliance",IF(AND(L69="Escalated",N69=""),"Notify Sponsor Bank",IF(AND(L69="Escalated",N69&lt;&gt;"",NETWORKDAYS(B69,N69)-1&gt;Settings!$B$10),"Sponsor Bank notified late",IF(AND(K69&lt;&gt;"",K69&lt;&gt;"None",Q69=""),"Enter the legal deadline",IF(AND(S69&lt;&gt;"",OR(T69="",V69="")),"Record outcome and root cause",IF(AND(P69="",S69="",Settings!$B$4&gt;O69),"Acknowledgment overdue",""))))))))</f>
        <v/>
      </c>
    </row>
    <row r="70" ht="15.75" customHeight="1" s="31">
      <c r="A70" s="44" t="n"/>
      <c r="B70" s="45" t="n"/>
      <c r="C70" s="45" t="n"/>
      <c r="D70" s="44" t="n"/>
      <c r="E70" s="44" t="n"/>
      <c r="F70" s="44" t="n"/>
      <c r="G70" s="44" t="n"/>
      <c r="H70" s="44" t="n"/>
      <c r="I70" s="44" t="n"/>
      <c r="J70" s="44" t="n"/>
      <c r="K70" s="44" t="n"/>
      <c r="L70" s="41">
        <f>IF(B70="","",IF(OR(COUNTIF(Settings!$E$4:$E$9,D70)&gt;0,I70="Yes",J70="Yes",K70="Fair lending allegation"),"Escalated","Standard"))</f>
        <v/>
      </c>
      <c r="M70" s="45" t="n"/>
      <c r="N70" s="45" t="n"/>
      <c r="O70" s="42">
        <f>IF(B70="","",WORKDAY(B70,Settings!$B$7))</f>
        <v/>
      </c>
      <c r="P70" s="45" t="n"/>
      <c r="Q70" s="45" t="n"/>
      <c r="R70" s="42">
        <f>IF(B70="","",IF(Q70&lt;&gt;"",MIN(Q70,IF(L70="Escalated",B70+Settings!$B$9,WORKDAY(B70,Settings!$B$8))),IF(L70="Escalated",B70+Settings!$B$9,WORKDAY(B70,Settings!$B$8))))</f>
        <v/>
      </c>
      <c r="S70" s="45" t="n"/>
      <c r="T70" s="44" t="n"/>
      <c r="U70" s="46" t="n"/>
      <c r="V70" s="44" t="n"/>
      <c r="W70" s="44" t="n"/>
      <c r="X70" s="44" t="n"/>
      <c r="Y70" s="41">
        <f>IF(B70="","",IF(S70&lt;&gt;"",S70,Settings!$B$4)-B70)</f>
        <v/>
      </c>
      <c r="Z70" s="41">
        <f>IF(B70="","",IF(S70&lt;&gt;"",IF(S70&gt;R70,"Closed late","Closed on time"),IF(Settings!$B$4&gt;R70,"Open: overdue","Open")))</f>
        <v/>
      </c>
      <c r="AA70" s="41">
        <f>IF(B70="","",IF(NETWORKDAYS(B70,C70)-1&gt;Settings!$B$5,"Logged late",IF(AND(L70="Escalated",M70=""),"Escalate to Compliance",IF(AND(L70="Escalated",N70=""),"Notify Sponsor Bank",IF(AND(L70="Escalated",N70&lt;&gt;"",NETWORKDAYS(B70,N70)-1&gt;Settings!$B$10),"Sponsor Bank notified late",IF(AND(K70&lt;&gt;"",K70&lt;&gt;"None",Q70=""),"Enter the legal deadline",IF(AND(S70&lt;&gt;"",OR(T70="",V70="")),"Record outcome and root cause",IF(AND(P70="",S70="",Settings!$B$4&gt;O70),"Acknowledgment overdue",""))))))))</f>
        <v/>
      </c>
    </row>
    <row r="71" ht="15.75" customHeight="1" s="31">
      <c r="A71" s="44" t="n"/>
      <c r="B71" s="45" t="n"/>
      <c r="C71" s="45" t="n"/>
      <c r="D71" s="44" t="n"/>
      <c r="E71" s="44" t="n"/>
      <c r="F71" s="44" t="n"/>
      <c r="G71" s="44" t="n"/>
      <c r="H71" s="44" t="n"/>
      <c r="I71" s="44" t="n"/>
      <c r="J71" s="44" t="n"/>
      <c r="K71" s="44" t="n"/>
      <c r="L71" s="41">
        <f>IF(B71="","",IF(OR(COUNTIF(Settings!$E$4:$E$9,D71)&gt;0,I71="Yes",J71="Yes",K71="Fair lending allegation"),"Escalated","Standard"))</f>
        <v/>
      </c>
      <c r="M71" s="45" t="n"/>
      <c r="N71" s="45" t="n"/>
      <c r="O71" s="42">
        <f>IF(B71="","",WORKDAY(B71,Settings!$B$7))</f>
        <v/>
      </c>
      <c r="P71" s="45" t="n"/>
      <c r="Q71" s="45" t="n"/>
      <c r="R71" s="42">
        <f>IF(B71="","",IF(Q71&lt;&gt;"",MIN(Q71,IF(L71="Escalated",B71+Settings!$B$9,WORKDAY(B71,Settings!$B$8))),IF(L71="Escalated",B71+Settings!$B$9,WORKDAY(B71,Settings!$B$8))))</f>
        <v/>
      </c>
      <c r="S71" s="45" t="n"/>
      <c r="T71" s="44" t="n"/>
      <c r="U71" s="46" t="n"/>
      <c r="V71" s="44" t="n"/>
      <c r="W71" s="44" t="n"/>
      <c r="X71" s="44" t="n"/>
      <c r="Y71" s="41">
        <f>IF(B71="","",IF(S71&lt;&gt;"",S71,Settings!$B$4)-B71)</f>
        <v/>
      </c>
      <c r="Z71" s="41">
        <f>IF(B71="","",IF(S71&lt;&gt;"",IF(S71&gt;R71,"Closed late","Closed on time"),IF(Settings!$B$4&gt;R71,"Open: overdue","Open")))</f>
        <v/>
      </c>
      <c r="AA71" s="41">
        <f>IF(B71="","",IF(NETWORKDAYS(B71,C71)-1&gt;Settings!$B$5,"Logged late",IF(AND(L71="Escalated",M71=""),"Escalate to Compliance",IF(AND(L71="Escalated",N71=""),"Notify Sponsor Bank",IF(AND(L71="Escalated",N71&lt;&gt;"",NETWORKDAYS(B71,N71)-1&gt;Settings!$B$10),"Sponsor Bank notified late",IF(AND(K71&lt;&gt;"",K71&lt;&gt;"None",Q71=""),"Enter the legal deadline",IF(AND(S71&lt;&gt;"",OR(T71="",V71="")),"Record outcome and root cause",IF(AND(P71="",S71="",Settings!$B$4&gt;O71),"Acknowledgment overdue",""))))))))</f>
        <v/>
      </c>
    </row>
    <row r="72" ht="15.75" customHeight="1" s="31">
      <c r="A72" s="44" t="n"/>
      <c r="B72" s="45" t="n"/>
      <c r="C72" s="45" t="n"/>
      <c r="D72" s="44" t="n"/>
      <c r="E72" s="44" t="n"/>
      <c r="F72" s="44" t="n"/>
      <c r="G72" s="44" t="n"/>
      <c r="H72" s="44" t="n"/>
      <c r="I72" s="44" t="n"/>
      <c r="J72" s="44" t="n"/>
      <c r="K72" s="44" t="n"/>
      <c r="L72" s="41">
        <f>IF(B72="","",IF(OR(COUNTIF(Settings!$E$4:$E$9,D72)&gt;0,I72="Yes",J72="Yes",K72="Fair lending allegation"),"Escalated","Standard"))</f>
        <v/>
      </c>
      <c r="M72" s="45" t="n"/>
      <c r="N72" s="45" t="n"/>
      <c r="O72" s="42">
        <f>IF(B72="","",WORKDAY(B72,Settings!$B$7))</f>
        <v/>
      </c>
      <c r="P72" s="45" t="n"/>
      <c r="Q72" s="45" t="n"/>
      <c r="R72" s="42">
        <f>IF(B72="","",IF(Q72&lt;&gt;"",MIN(Q72,IF(L72="Escalated",B72+Settings!$B$9,WORKDAY(B72,Settings!$B$8))),IF(L72="Escalated",B72+Settings!$B$9,WORKDAY(B72,Settings!$B$8))))</f>
        <v/>
      </c>
      <c r="S72" s="45" t="n"/>
      <c r="T72" s="44" t="n"/>
      <c r="U72" s="46" t="n"/>
      <c r="V72" s="44" t="n"/>
      <c r="W72" s="44" t="n"/>
      <c r="X72" s="44" t="n"/>
      <c r="Y72" s="41">
        <f>IF(B72="","",IF(S72&lt;&gt;"",S72,Settings!$B$4)-B72)</f>
        <v/>
      </c>
      <c r="Z72" s="41">
        <f>IF(B72="","",IF(S72&lt;&gt;"",IF(S72&gt;R72,"Closed late","Closed on time"),IF(Settings!$B$4&gt;R72,"Open: overdue","Open")))</f>
        <v/>
      </c>
      <c r="AA72" s="41">
        <f>IF(B72="","",IF(NETWORKDAYS(B72,C72)-1&gt;Settings!$B$5,"Logged late",IF(AND(L72="Escalated",M72=""),"Escalate to Compliance",IF(AND(L72="Escalated",N72=""),"Notify Sponsor Bank",IF(AND(L72="Escalated",N72&lt;&gt;"",NETWORKDAYS(B72,N72)-1&gt;Settings!$B$10),"Sponsor Bank notified late",IF(AND(K72&lt;&gt;"",K72&lt;&gt;"None",Q72=""),"Enter the legal deadline",IF(AND(S72&lt;&gt;"",OR(T72="",V72="")),"Record outcome and root cause",IF(AND(P72="",S72="",Settings!$B$4&gt;O72),"Acknowledgment overdue",""))))))))</f>
        <v/>
      </c>
    </row>
    <row r="73" ht="15.75" customHeight="1" s="31">
      <c r="A73" s="44" t="n"/>
      <c r="B73" s="45" t="n"/>
      <c r="C73" s="45" t="n"/>
      <c r="D73" s="44" t="n"/>
      <c r="E73" s="44" t="n"/>
      <c r="F73" s="44" t="n"/>
      <c r="G73" s="44" t="n"/>
      <c r="H73" s="44" t="n"/>
      <c r="I73" s="44" t="n"/>
      <c r="J73" s="44" t="n"/>
      <c r="K73" s="44" t="n"/>
      <c r="L73" s="41">
        <f>IF(B73="","",IF(OR(COUNTIF(Settings!$E$4:$E$9,D73)&gt;0,I73="Yes",J73="Yes",K73="Fair lending allegation"),"Escalated","Standard"))</f>
        <v/>
      </c>
      <c r="M73" s="45" t="n"/>
      <c r="N73" s="45" t="n"/>
      <c r="O73" s="42">
        <f>IF(B73="","",WORKDAY(B73,Settings!$B$7))</f>
        <v/>
      </c>
      <c r="P73" s="45" t="n"/>
      <c r="Q73" s="45" t="n"/>
      <c r="R73" s="42">
        <f>IF(B73="","",IF(Q73&lt;&gt;"",MIN(Q73,IF(L73="Escalated",B73+Settings!$B$9,WORKDAY(B73,Settings!$B$8))),IF(L73="Escalated",B73+Settings!$B$9,WORKDAY(B73,Settings!$B$8))))</f>
        <v/>
      </c>
      <c r="S73" s="45" t="n"/>
      <c r="T73" s="44" t="n"/>
      <c r="U73" s="46" t="n"/>
      <c r="V73" s="44" t="n"/>
      <c r="W73" s="44" t="n"/>
      <c r="X73" s="44" t="n"/>
      <c r="Y73" s="41">
        <f>IF(B73="","",IF(S73&lt;&gt;"",S73,Settings!$B$4)-B73)</f>
        <v/>
      </c>
      <c r="Z73" s="41">
        <f>IF(B73="","",IF(S73&lt;&gt;"",IF(S73&gt;R73,"Closed late","Closed on time"),IF(Settings!$B$4&gt;R73,"Open: overdue","Open")))</f>
        <v/>
      </c>
      <c r="AA73" s="41">
        <f>IF(B73="","",IF(NETWORKDAYS(B73,C73)-1&gt;Settings!$B$5,"Logged late",IF(AND(L73="Escalated",M73=""),"Escalate to Compliance",IF(AND(L73="Escalated",N73=""),"Notify Sponsor Bank",IF(AND(L73="Escalated",N73&lt;&gt;"",NETWORKDAYS(B73,N73)-1&gt;Settings!$B$10),"Sponsor Bank notified late",IF(AND(K73&lt;&gt;"",K73&lt;&gt;"None",Q73=""),"Enter the legal deadline",IF(AND(S73&lt;&gt;"",OR(T73="",V73="")),"Record outcome and root cause",IF(AND(P73="",S73="",Settings!$B$4&gt;O73),"Acknowledgment overdue",""))))))))</f>
        <v/>
      </c>
    </row>
    <row r="74" ht="15.75" customHeight="1" s="31">
      <c r="A74" s="44" t="n"/>
      <c r="B74" s="45" t="n"/>
      <c r="C74" s="45" t="n"/>
      <c r="D74" s="44" t="n"/>
      <c r="E74" s="44" t="n"/>
      <c r="F74" s="44" t="n"/>
      <c r="G74" s="44" t="n"/>
      <c r="H74" s="44" t="n"/>
      <c r="I74" s="44" t="n"/>
      <c r="J74" s="44" t="n"/>
      <c r="K74" s="44" t="n"/>
      <c r="L74" s="41">
        <f>IF(B74="","",IF(OR(COUNTIF(Settings!$E$4:$E$9,D74)&gt;0,I74="Yes",J74="Yes",K74="Fair lending allegation"),"Escalated","Standard"))</f>
        <v/>
      </c>
      <c r="M74" s="45" t="n"/>
      <c r="N74" s="45" t="n"/>
      <c r="O74" s="42">
        <f>IF(B74="","",WORKDAY(B74,Settings!$B$7))</f>
        <v/>
      </c>
      <c r="P74" s="45" t="n"/>
      <c r="Q74" s="45" t="n"/>
      <c r="R74" s="42">
        <f>IF(B74="","",IF(Q74&lt;&gt;"",MIN(Q74,IF(L74="Escalated",B74+Settings!$B$9,WORKDAY(B74,Settings!$B$8))),IF(L74="Escalated",B74+Settings!$B$9,WORKDAY(B74,Settings!$B$8))))</f>
        <v/>
      </c>
      <c r="S74" s="45" t="n"/>
      <c r="T74" s="44" t="n"/>
      <c r="U74" s="46" t="n"/>
      <c r="V74" s="44" t="n"/>
      <c r="W74" s="44" t="n"/>
      <c r="X74" s="44" t="n"/>
      <c r="Y74" s="41">
        <f>IF(B74="","",IF(S74&lt;&gt;"",S74,Settings!$B$4)-B74)</f>
        <v/>
      </c>
      <c r="Z74" s="41">
        <f>IF(B74="","",IF(S74&lt;&gt;"",IF(S74&gt;R74,"Closed late","Closed on time"),IF(Settings!$B$4&gt;R74,"Open: overdue","Open")))</f>
        <v/>
      </c>
      <c r="AA74" s="41">
        <f>IF(B74="","",IF(NETWORKDAYS(B74,C74)-1&gt;Settings!$B$5,"Logged late",IF(AND(L74="Escalated",M74=""),"Escalate to Compliance",IF(AND(L74="Escalated",N74=""),"Notify Sponsor Bank",IF(AND(L74="Escalated",N74&lt;&gt;"",NETWORKDAYS(B74,N74)-1&gt;Settings!$B$10),"Sponsor Bank notified late",IF(AND(K74&lt;&gt;"",K74&lt;&gt;"None",Q74=""),"Enter the legal deadline",IF(AND(S74&lt;&gt;"",OR(T74="",V74="")),"Record outcome and root cause",IF(AND(P74="",S74="",Settings!$B$4&gt;O74),"Acknowledgment overdue",""))))))))</f>
        <v/>
      </c>
    </row>
    <row r="75" ht="15.75" customHeight="1" s="31">
      <c r="A75" s="44" t="n"/>
      <c r="B75" s="45" t="n"/>
      <c r="C75" s="45" t="n"/>
      <c r="D75" s="44" t="n"/>
      <c r="E75" s="44" t="n"/>
      <c r="F75" s="44" t="n"/>
      <c r="G75" s="44" t="n"/>
      <c r="H75" s="44" t="n"/>
      <c r="I75" s="44" t="n"/>
      <c r="J75" s="44" t="n"/>
      <c r="K75" s="44" t="n"/>
      <c r="L75" s="41">
        <f>IF(B75="","",IF(OR(COUNTIF(Settings!$E$4:$E$9,D75)&gt;0,I75="Yes",J75="Yes",K75="Fair lending allegation"),"Escalated","Standard"))</f>
        <v/>
      </c>
      <c r="M75" s="45" t="n"/>
      <c r="N75" s="45" t="n"/>
      <c r="O75" s="42">
        <f>IF(B75="","",WORKDAY(B75,Settings!$B$7))</f>
        <v/>
      </c>
      <c r="P75" s="45" t="n"/>
      <c r="Q75" s="45" t="n"/>
      <c r="R75" s="42">
        <f>IF(B75="","",IF(Q75&lt;&gt;"",MIN(Q75,IF(L75="Escalated",B75+Settings!$B$9,WORKDAY(B75,Settings!$B$8))),IF(L75="Escalated",B75+Settings!$B$9,WORKDAY(B75,Settings!$B$8))))</f>
        <v/>
      </c>
      <c r="S75" s="45" t="n"/>
      <c r="T75" s="44" t="n"/>
      <c r="U75" s="46" t="n"/>
      <c r="V75" s="44" t="n"/>
      <c r="W75" s="44" t="n"/>
      <c r="X75" s="44" t="n"/>
      <c r="Y75" s="41">
        <f>IF(B75="","",IF(S75&lt;&gt;"",S75,Settings!$B$4)-B75)</f>
        <v/>
      </c>
      <c r="Z75" s="41">
        <f>IF(B75="","",IF(S75&lt;&gt;"",IF(S75&gt;R75,"Closed late","Closed on time"),IF(Settings!$B$4&gt;R75,"Open: overdue","Open")))</f>
        <v/>
      </c>
      <c r="AA75" s="41">
        <f>IF(B75="","",IF(NETWORKDAYS(B75,C75)-1&gt;Settings!$B$5,"Logged late",IF(AND(L75="Escalated",M75=""),"Escalate to Compliance",IF(AND(L75="Escalated",N75=""),"Notify Sponsor Bank",IF(AND(L75="Escalated",N75&lt;&gt;"",NETWORKDAYS(B75,N75)-1&gt;Settings!$B$10),"Sponsor Bank notified late",IF(AND(K75&lt;&gt;"",K75&lt;&gt;"None",Q75=""),"Enter the legal deadline",IF(AND(S75&lt;&gt;"",OR(T75="",V75="")),"Record outcome and root cause",IF(AND(P75="",S75="",Settings!$B$4&gt;O75),"Acknowledgment overdue",""))))))))</f>
        <v/>
      </c>
    </row>
    <row r="76" ht="15.75" customHeight="1" s="31">
      <c r="A76" s="44" t="n"/>
      <c r="B76" s="45" t="n"/>
      <c r="C76" s="45" t="n"/>
      <c r="D76" s="44" t="n"/>
      <c r="E76" s="44" t="n"/>
      <c r="F76" s="44" t="n"/>
      <c r="G76" s="44" t="n"/>
      <c r="H76" s="44" t="n"/>
      <c r="I76" s="44" t="n"/>
      <c r="J76" s="44" t="n"/>
      <c r="K76" s="44" t="n"/>
      <c r="L76" s="41">
        <f>IF(B76="","",IF(OR(COUNTIF(Settings!$E$4:$E$9,D76)&gt;0,I76="Yes",J76="Yes",K76="Fair lending allegation"),"Escalated","Standard"))</f>
        <v/>
      </c>
      <c r="M76" s="45" t="n"/>
      <c r="N76" s="45" t="n"/>
      <c r="O76" s="42">
        <f>IF(B76="","",WORKDAY(B76,Settings!$B$7))</f>
        <v/>
      </c>
      <c r="P76" s="45" t="n"/>
      <c r="Q76" s="45" t="n"/>
      <c r="R76" s="42">
        <f>IF(B76="","",IF(Q76&lt;&gt;"",MIN(Q76,IF(L76="Escalated",B76+Settings!$B$9,WORKDAY(B76,Settings!$B$8))),IF(L76="Escalated",B76+Settings!$B$9,WORKDAY(B76,Settings!$B$8))))</f>
        <v/>
      </c>
      <c r="S76" s="45" t="n"/>
      <c r="T76" s="44" t="n"/>
      <c r="U76" s="46" t="n"/>
      <c r="V76" s="44" t="n"/>
      <c r="W76" s="44" t="n"/>
      <c r="X76" s="44" t="n"/>
      <c r="Y76" s="41">
        <f>IF(B76="","",IF(S76&lt;&gt;"",S76,Settings!$B$4)-B76)</f>
        <v/>
      </c>
      <c r="Z76" s="41">
        <f>IF(B76="","",IF(S76&lt;&gt;"",IF(S76&gt;R76,"Closed late","Closed on time"),IF(Settings!$B$4&gt;R76,"Open: overdue","Open")))</f>
        <v/>
      </c>
      <c r="AA76" s="41">
        <f>IF(B76="","",IF(NETWORKDAYS(B76,C76)-1&gt;Settings!$B$5,"Logged late",IF(AND(L76="Escalated",M76=""),"Escalate to Compliance",IF(AND(L76="Escalated",N76=""),"Notify Sponsor Bank",IF(AND(L76="Escalated",N76&lt;&gt;"",NETWORKDAYS(B76,N76)-1&gt;Settings!$B$10),"Sponsor Bank notified late",IF(AND(K76&lt;&gt;"",K76&lt;&gt;"None",Q76=""),"Enter the legal deadline",IF(AND(S76&lt;&gt;"",OR(T76="",V76="")),"Record outcome and root cause",IF(AND(P76="",S76="",Settings!$B$4&gt;O76),"Acknowledgment overdue",""))))))))</f>
        <v/>
      </c>
    </row>
    <row r="77" ht="15.75" customHeight="1" s="31">
      <c r="A77" s="44" t="n"/>
      <c r="B77" s="45" t="n"/>
      <c r="C77" s="45" t="n"/>
      <c r="D77" s="44" t="n"/>
      <c r="E77" s="44" t="n"/>
      <c r="F77" s="44" t="n"/>
      <c r="G77" s="44" t="n"/>
      <c r="H77" s="44" t="n"/>
      <c r="I77" s="44" t="n"/>
      <c r="J77" s="44" t="n"/>
      <c r="K77" s="44" t="n"/>
      <c r="L77" s="41">
        <f>IF(B77="","",IF(OR(COUNTIF(Settings!$E$4:$E$9,D77)&gt;0,I77="Yes",J77="Yes",K77="Fair lending allegation"),"Escalated","Standard"))</f>
        <v/>
      </c>
      <c r="M77" s="45" t="n"/>
      <c r="N77" s="45" t="n"/>
      <c r="O77" s="42">
        <f>IF(B77="","",WORKDAY(B77,Settings!$B$7))</f>
        <v/>
      </c>
      <c r="P77" s="45" t="n"/>
      <c r="Q77" s="45" t="n"/>
      <c r="R77" s="42">
        <f>IF(B77="","",IF(Q77&lt;&gt;"",MIN(Q77,IF(L77="Escalated",B77+Settings!$B$9,WORKDAY(B77,Settings!$B$8))),IF(L77="Escalated",B77+Settings!$B$9,WORKDAY(B77,Settings!$B$8))))</f>
        <v/>
      </c>
      <c r="S77" s="45" t="n"/>
      <c r="T77" s="44" t="n"/>
      <c r="U77" s="46" t="n"/>
      <c r="V77" s="44" t="n"/>
      <c r="W77" s="44" t="n"/>
      <c r="X77" s="44" t="n"/>
      <c r="Y77" s="41">
        <f>IF(B77="","",IF(S77&lt;&gt;"",S77,Settings!$B$4)-B77)</f>
        <v/>
      </c>
      <c r="Z77" s="41">
        <f>IF(B77="","",IF(S77&lt;&gt;"",IF(S77&gt;R77,"Closed late","Closed on time"),IF(Settings!$B$4&gt;R77,"Open: overdue","Open")))</f>
        <v/>
      </c>
      <c r="AA77" s="41">
        <f>IF(B77="","",IF(NETWORKDAYS(B77,C77)-1&gt;Settings!$B$5,"Logged late",IF(AND(L77="Escalated",M77=""),"Escalate to Compliance",IF(AND(L77="Escalated",N77=""),"Notify Sponsor Bank",IF(AND(L77="Escalated",N77&lt;&gt;"",NETWORKDAYS(B77,N77)-1&gt;Settings!$B$10),"Sponsor Bank notified late",IF(AND(K77&lt;&gt;"",K77&lt;&gt;"None",Q77=""),"Enter the legal deadline",IF(AND(S77&lt;&gt;"",OR(T77="",V77="")),"Record outcome and root cause",IF(AND(P77="",S77="",Settings!$B$4&gt;O77),"Acknowledgment overdue",""))))))))</f>
        <v/>
      </c>
    </row>
    <row r="78" ht="15.75" customHeight="1" s="31">
      <c r="A78" s="44" t="n"/>
      <c r="B78" s="45" t="n"/>
      <c r="C78" s="45" t="n"/>
      <c r="D78" s="44" t="n"/>
      <c r="E78" s="44" t="n"/>
      <c r="F78" s="44" t="n"/>
      <c r="G78" s="44" t="n"/>
      <c r="H78" s="44" t="n"/>
      <c r="I78" s="44" t="n"/>
      <c r="J78" s="44" t="n"/>
      <c r="K78" s="44" t="n"/>
      <c r="L78" s="41">
        <f>IF(B78="","",IF(OR(COUNTIF(Settings!$E$4:$E$9,D78)&gt;0,I78="Yes",J78="Yes",K78="Fair lending allegation"),"Escalated","Standard"))</f>
        <v/>
      </c>
      <c r="M78" s="45" t="n"/>
      <c r="N78" s="45" t="n"/>
      <c r="O78" s="42">
        <f>IF(B78="","",WORKDAY(B78,Settings!$B$7))</f>
        <v/>
      </c>
      <c r="P78" s="45" t="n"/>
      <c r="Q78" s="45" t="n"/>
      <c r="R78" s="42">
        <f>IF(B78="","",IF(Q78&lt;&gt;"",MIN(Q78,IF(L78="Escalated",B78+Settings!$B$9,WORKDAY(B78,Settings!$B$8))),IF(L78="Escalated",B78+Settings!$B$9,WORKDAY(B78,Settings!$B$8))))</f>
        <v/>
      </c>
      <c r="S78" s="45" t="n"/>
      <c r="T78" s="44" t="n"/>
      <c r="U78" s="46" t="n"/>
      <c r="V78" s="44" t="n"/>
      <c r="W78" s="44" t="n"/>
      <c r="X78" s="44" t="n"/>
      <c r="Y78" s="41">
        <f>IF(B78="","",IF(S78&lt;&gt;"",S78,Settings!$B$4)-B78)</f>
        <v/>
      </c>
      <c r="Z78" s="41">
        <f>IF(B78="","",IF(S78&lt;&gt;"",IF(S78&gt;R78,"Closed late","Closed on time"),IF(Settings!$B$4&gt;R78,"Open: overdue","Open")))</f>
        <v/>
      </c>
      <c r="AA78" s="41">
        <f>IF(B78="","",IF(NETWORKDAYS(B78,C78)-1&gt;Settings!$B$5,"Logged late",IF(AND(L78="Escalated",M78=""),"Escalate to Compliance",IF(AND(L78="Escalated",N78=""),"Notify Sponsor Bank",IF(AND(L78="Escalated",N78&lt;&gt;"",NETWORKDAYS(B78,N78)-1&gt;Settings!$B$10),"Sponsor Bank notified late",IF(AND(K78&lt;&gt;"",K78&lt;&gt;"None",Q78=""),"Enter the legal deadline",IF(AND(S78&lt;&gt;"",OR(T78="",V78="")),"Record outcome and root cause",IF(AND(P78="",S78="",Settings!$B$4&gt;O78),"Acknowledgment overdue",""))))))))</f>
        <v/>
      </c>
    </row>
    <row r="79" ht="15.75" customHeight="1" s="31">
      <c r="A79" s="44" t="n"/>
      <c r="B79" s="45" t="n"/>
      <c r="C79" s="45" t="n"/>
      <c r="D79" s="44" t="n"/>
      <c r="E79" s="44" t="n"/>
      <c r="F79" s="44" t="n"/>
      <c r="G79" s="44" t="n"/>
      <c r="H79" s="44" t="n"/>
      <c r="I79" s="44" t="n"/>
      <c r="J79" s="44" t="n"/>
      <c r="K79" s="44" t="n"/>
      <c r="L79" s="41">
        <f>IF(B79="","",IF(OR(COUNTIF(Settings!$E$4:$E$9,D79)&gt;0,I79="Yes",J79="Yes",K79="Fair lending allegation"),"Escalated","Standard"))</f>
        <v/>
      </c>
      <c r="M79" s="45" t="n"/>
      <c r="N79" s="45" t="n"/>
      <c r="O79" s="42">
        <f>IF(B79="","",WORKDAY(B79,Settings!$B$7))</f>
        <v/>
      </c>
      <c r="P79" s="45" t="n"/>
      <c r="Q79" s="45" t="n"/>
      <c r="R79" s="42">
        <f>IF(B79="","",IF(Q79&lt;&gt;"",MIN(Q79,IF(L79="Escalated",B79+Settings!$B$9,WORKDAY(B79,Settings!$B$8))),IF(L79="Escalated",B79+Settings!$B$9,WORKDAY(B79,Settings!$B$8))))</f>
        <v/>
      </c>
      <c r="S79" s="45" t="n"/>
      <c r="T79" s="44" t="n"/>
      <c r="U79" s="46" t="n"/>
      <c r="V79" s="44" t="n"/>
      <c r="W79" s="44" t="n"/>
      <c r="X79" s="44" t="n"/>
      <c r="Y79" s="41">
        <f>IF(B79="","",IF(S79&lt;&gt;"",S79,Settings!$B$4)-B79)</f>
        <v/>
      </c>
      <c r="Z79" s="41">
        <f>IF(B79="","",IF(S79&lt;&gt;"",IF(S79&gt;R79,"Closed late","Closed on time"),IF(Settings!$B$4&gt;R79,"Open: overdue","Open")))</f>
        <v/>
      </c>
      <c r="AA79" s="41">
        <f>IF(B79="","",IF(NETWORKDAYS(B79,C79)-1&gt;Settings!$B$5,"Logged late",IF(AND(L79="Escalated",M79=""),"Escalate to Compliance",IF(AND(L79="Escalated",N79=""),"Notify Sponsor Bank",IF(AND(L79="Escalated",N79&lt;&gt;"",NETWORKDAYS(B79,N79)-1&gt;Settings!$B$10),"Sponsor Bank notified late",IF(AND(K79&lt;&gt;"",K79&lt;&gt;"None",Q79=""),"Enter the legal deadline",IF(AND(S79&lt;&gt;"",OR(T79="",V79="")),"Record outcome and root cause",IF(AND(P79="",S79="",Settings!$B$4&gt;O79),"Acknowledgment overdue",""))))))))</f>
        <v/>
      </c>
    </row>
    <row r="80" ht="15.75" customHeight="1" s="31">
      <c r="A80" s="44" t="n"/>
      <c r="B80" s="45" t="n"/>
      <c r="C80" s="45" t="n"/>
      <c r="D80" s="44" t="n"/>
      <c r="E80" s="44" t="n"/>
      <c r="F80" s="44" t="n"/>
      <c r="G80" s="44" t="n"/>
      <c r="H80" s="44" t="n"/>
      <c r="I80" s="44" t="n"/>
      <c r="J80" s="44" t="n"/>
      <c r="K80" s="44" t="n"/>
      <c r="L80" s="41">
        <f>IF(B80="","",IF(OR(COUNTIF(Settings!$E$4:$E$9,D80)&gt;0,I80="Yes",J80="Yes",K80="Fair lending allegation"),"Escalated","Standard"))</f>
        <v/>
      </c>
      <c r="M80" s="45" t="n"/>
      <c r="N80" s="45" t="n"/>
      <c r="O80" s="42">
        <f>IF(B80="","",WORKDAY(B80,Settings!$B$7))</f>
        <v/>
      </c>
      <c r="P80" s="45" t="n"/>
      <c r="Q80" s="45" t="n"/>
      <c r="R80" s="42">
        <f>IF(B80="","",IF(Q80&lt;&gt;"",MIN(Q80,IF(L80="Escalated",B80+Settings!$B$9,WORKDAY(B80,Settings!$B$8))),IF(L80="Escalated",B80+Settings!$B$9,WORKDAY(B80,Settings!$B$8))))</f>
        <v/>
      </c>
      <c r="S80" s="45" t="n"/>
      <c r="T80" s="44" t="n"/>
      <c r="U80" s="46" t="n"/>
      <c r="V80" s="44" t="n"/>
      <c r="W80" s="44" t="n"/>
      <c r="X80" s="44" t="n"/>
      <c r="Y80" s="41">
        <f>IF(B80="","",IF(S80&lt;&gt;"",S80,Settings!$B$4)-B80)</f>
        <v/>
      </c>
      <c r="Z80" s="41">
        <f>IF(B80="","",IF(S80&lt;&gt;"",IF(S80&gt;R80,"Closed late","Closed on time"),IF(Settings!$B$4&gt;R80,"Open: overdue","Open")))</f>
        <v/>
      </c>
      <c r="AA80" s="41">
        <f>IF(B80="","",IF(NETWORKDAYS(B80,C80)-1&gt;Settings!$B$5,"Logged late",IF(AND(L80="Escalated",M80=""),"Escalate to Compliance",IF(AND(L80="Escalated",N80=""),"Notify Sponsor Bank",IF(AND(L80="Escalated",N80&lt;&gt;"",NETWORKDAYS(B80,N80)-1&gt;Settings!$B$10),"Sponsor Bank notified late",IF(AND(K80&lt;&gt;"",K80&lt;&gt;"None",Q80=""),"Enter the legal deadline",IF(AND(S80&lt;&gt;"",OR(T80="",V80="")),"Record outcome and root cause",IF(AND(P80="",S80="",Settings!$B$4&gt;O80),"Acknowledgment overdue",""))))))))</f>
        <v/>
      </c>
    </row>
    <row r="81" ht="15.75" customHeight="1" s="31">
      <c r="A81" s="44" t="n"/>
      <c r="B81" s="45" t="n"/>
      <c r="C81" s="45" t="n"/>
      <c r="D81" s="44" t="n"/>
      <c r="E81" s="44" t="n"/>
      <c r="F81" s="44" t="n"/>
      <c r="G81" s="44" t="n"/>
      <c r="H81" s="44" t="n"/>
      <c r="I81" s="44" t="n"/>
      <c r="J81" s="44" t="n"/>
      <c r="K81" s="44" t="n"/>
      <c r="L81" s="41">
        <f>IF(B81="","",IF(OR(COUNTIF(Settings!$E$4:$E$9,D81)&gt;0,I81="Yes",J81="Yes",K81="Fair lending allegation"),"Escalated","Standard"))</f>
        <v/>
      </c>
      <c r="M81" s="45" t="n"/>
      <c r="N81" s="45" t="n"/>
      <c r="O81" s="42">
        <f>IF(B81="","",WORKDAY(B81,Settings!$B$7))</f>
        <v/>
      </c>
      <c r="P81" s="45" t="n"/>
      <c r="Q81" s="45" t="n"/>
      <c r="R81" s="42">
        <f>IF(B81="","",IF(Q81&lt;&gt;"",MIN(Q81,IF(L81="Escalated",B81+Settings!$B$9,WORKDAY(B81,Settings!$B$8))),IF(L81="Escalated",B81+Settings!$B$9,WORKDAY(B81,Settings!$B$8))))</f>
        <v/>
      </c>
      <c r="S81" s="45" t="n"/>
      <c r="T81" s="44" t="n"/>
      <c r="U81" s="46" t="n"/>
      <c r="V81" s="44" t="n"/>
      <c r="W81" s="44" t="n"/>
      <c r="X81" s="44" t="n"/>
      <c r="Y81" s="41">
        <f>IF(B81="","",IF(S81&lt;&gt;"",S81,Settings!$B$4)-B81)</f>
        <v/>
      </c>
      <c r="Z81" s="41">
        <f>IF(B81="","",IF(S81&lt;&gt;"",IF(S81&gt;R81,"Closed late","Closed on time"),IF(Settings!$B$4&gt;R81,"Open: overdue","Open")))</f>
        <v/>
      </c>
      <c r="AA81" s="41">
        <f>IF(B81="","",IF(NETWORKDAYS(B81,C81)-1&gt;Settings!$B$5,"Logged late",IF(AND(L81="Escalated",M81=""),"Escalate to Compliance",IF(AND(L81="Escalated",N81=""),"Notify Sponsor Bank",IF(AND(L81="Escalated",N81&lt;&gt;"",NETWORKDAYS(B81,N81)-1&gt;Settings!$B$10),"Sponsor Bank notified late",IF(AND(K81&lt;&gt;"",K81&lt;&gt;"None",Q81=""),"Enter the legal deadline",IF(AND(S81&lt;&gt;"",OR(T81="",V81="")),"Record outcome and root cause",IF(AND(P81="",S81="",Settings!$B$4&gt;O81),"Acknowledgment overdue",""))))))))</f>
        <v/>
      </c>
    </row>
    <row r="82" ht="15.75" customHeight="1" s="31">
      <c r="A82" s="44" t="n"/>
      <c r="B82" s="45" t="n"/>
      <c r="C82" s="45" t="n"/>
      <c r="D82" s="44" t="n"/>
      <c r="E82" s="44" t="n"/>
      <c r="F82" s="44" t="n"/>
      <c r="G82" s="44" t="n"/>
      <c r="H82" s="44" t="n"/>
      <c r="I82" s="44" t="n"/>
      <c r="J82" s="44" t="n"/>
      <c r="K82" s="44" t="n"/>
      <c r="L82" s="41">
        <f>IF(B82="","",IF(OR(COUNTIF(Settings!$E$4:$E$9,D82)&gt;0,I82="Yes",J82="Yes",K82="Fair lending allegation"),"Escalated","Standard"))</f>
        <v/>
      </c>
      <c r="M82" s="45" t="n"/>
      <c r="N82" s="45" t="n"/>
      <c r="O82" s="42">
        <f>IF(B82="","",WORKDAY(B82,Settings!$B$7))</f>
        <v/>
      </c>
      <c r="P82" s="45" t="n"/>
      <c r="Q82" s="45" t="n"/>
      <c r="R82" s="42">
        <f>IF(B82="","",IF(Q82&lt;&gt;"",MIN(Q82,IF(L82="Escalated",B82+Settings!$B$9,WORKDAY(B82,Settings!$B$8))),IF(L82="Escalated",B82+Settings!$B$9,WORKDAY(B82,Settings!$B$8))))</f>
        <v/>
      </c>
      <c r="S82" s="45" t="n"/>
      <c r="T82" s="44" t="n"/>
      <c r="U82" s="46" t="n"/>
      <c r="V82" s="44" t="n"/>
      <c r="W82" s="44" t="n"/>
      <c r="X82" s="44" t="n"/>
      <c r="Y82" s="41">
        <f>IF(B82="","",IF(S82&lt;&gt;"",S82,Settings!$B$4)-B82)</f>
        <v/>
      </c>
      <c r="Z82" s="41">
        <f>IF(B82="","",IF(S82&lt;&gt;"",IF(S82&gt;R82,"Closed late","Closed on time"),IF(Settings!$B$4&gt;R82,"Open: overdue","Open")))</f>
        <v/>
      </c>
      <c r="AA82" s="41">
        <f>IF(B82="","",IF(NETWORKDAYS(B82,C82)-1&gt;Settings!$B$5,"Logged late",IF(AND(L82="Escalated",M82=""),"Escalate to Compliance",IF(AND(L82="Escalated",N82=""),"Notify Sponsor Bank",IF(AND(L82="Escalated",N82&lt;&gt;"",NETWORKDAYS(B82,N82)-1&gt;Settings!$B$10),"Sponsor Bank notified late",IF(AND(K82&lt;&gt;"",K82&lt;&gt;"None",Q82=""),"Enter the legal deadline",IF(AND(S82&lt;&gt;"",OR(T82="",V82="")),"Record outcome and root cause",IF(AND(P82="",S82="",Settings!$B$4&gt;O82),"Acknowledgment overdue",""))))))))</f>
        <v/>
      </c>
    </row>
    <row r="83" ht="15.75" customHeight="1" s="31">
      <c r="A83" s="44" t="n"/>
      <c r="B83" s="45" t="n"/>
      <c r="C83" s="45" t="n"/>
      <c r="D83" s="44" t="n"/>
      <c r="E83" s="44" t="n"/>
      <c r="F83" s="44" t="n"/>
      <c r="G83" s="44" t="n"/>
      <c r="H83" s="44" t="n"/>
      <c r="I83" s="44" t="n"/>
      <c r="J83" s="44" t="n"/>
      <c r="K83" s="44" t="n"/>
      <c r="L83" s="41">
        <f>IF(B83="","",IF(OR(COUNTIF(Settings!$E$4:$E$9,D83)&gt;0,I83="Yes",J83="Yes",K83="Fair lending allegation"),"Escalated","Standard"))</f>
        <v/>
      </c>
      <c r="M83" s="45" t="n"/>
      <c r="N83" s="45" t="n"/>
      <c r="O83" s="42">
        <f>IF(B83="","",WORKDAY(B83,Settings!$B$7))</f>
        <v/>
      </c>
      <c r="P83" s="45" t="n"/>
      <c r="Q83" s="45" t="n"/>
      <c r="R83" s="42">
        <f>IF(B83="","",IF(Q83&lt;&gt;"",MIN(Q83,IF(L83="Escalated",B83+Settings!$B$9,WORKDAY(B83,Settings!$B$8))),IF(L83="Escalated",B83+Settings!$B$9,WORKDAY(B83,Settings!$B$8))))</f>
        <v/>
      </c>
      <c r="S83" s="45" t="n"/>
      <c r="T83" s="44" t="n"/>
      <c r="U83" s="46" t="n"/>
      <c r="V83" s="44" t="n"/>
      <c r="W83" s="44" t="n"/>
      <c r="X83" s="44" t="n"/>
      <c r="Y83" s="41">
        <f>IF(B83="","",IF(S83&lt;&gt;"",S83,Settings!$B$4)-B83)</f>
        <v/>
      </c>
      <c r="Z83" s="41">
        <f>IF(B83="","",IF(S83&lt;&gt;"",IF(S83&gt;R83,"Closed late","Closed on time"),IF(Settings!$B$4&gt;R83,"Open: overdue","Open")))</f>
        <v/>
      </c>
      <c r="AA83" s="41">
        <f>IF(B83="","",IF(NETWORKDAYS(B83,C83)-1&gt;Settings!$B$5,"Logged late",IF(AND(L83="Escalated",M83=""),"Escalate to Compliance",IF(AND(L83="Escalated",N83=""),"Notify Sponsor Bank",IF(AND(L83="Escalated",N83&lt;&gt;"",NETWORKDAYS(B83,N83)-1&gt;Settings!$B$10),"Sponsor Bank notified late",IF(AND(K83&lt;&gt;"",K83&lt;&gt;"None",Q83=""),"Enter the legal deadline",IF(AND(S83&lt;&gt;"",OR(T83="",V83="")),"Record outcome and root cause",IF(AND(P83="",S83="",Settings!$B$4&gt;O83),"Acknowledgment overdue",""))))))))</f>
        <v/>
      </c>
    </row>
    <row r="84" ht="15.75" customHeight="1" s="31">
      <c r="A84" s="44" t="n"/>
      <c r="B84" s="45" t="n"/>
      <c r="C84" s="45" t="n"/>
      <c r="D84" s="44" t="n"/>
      <c r="E84" s="44" t="n"/>
      <c r="F84" s="44" t="n"/>
      <c r="G84" s="44" t="n"/>
      <c r="H84" s="44" t="n"/>
      <c r="I84" s="44" t="n"/>
      <c r="J84" s="44" t="n"/>
      <c r="K84" s="44" t="n"/>
      <c r="L84" s="41">
        <f>IF(B84="","",IF(OR(COUNTIF(Settings!$E$4:$E$9,D84)&gt;0,I84="Yes",J84="Yes",K84="Fair lending allegation"),"Escalated","Standard"))</f>
        <v/>
      </c>
      <c r="M84" s="45" t="n"/>
      <c r="N84" s="45" t="n"/>
      <c r="O84" s="42">
        <f>IF(B84="","",WORKDAY(B84,Settings!$B$7))</f>
        <v/>
      </c>
      <c r="P84" s="45" t="n"/>
      <c r="Q84" s="45" t="n"/>
      <c r="R84" s="42">
        <f>IF(B84="","",IF(Q84&lt;&gt;"",MIN(Q84,IF(L84="Escalated",B84+Settings!$B$9,WORKDAY(B84,Settings!$B$8))),IF(L84="Escalated",B84+Settings!$B$9,WORKDAY(B84,Settings!$B$8))))</f>
        <v/>
      </c>
      <c r="S84" s="45" t="n"/>
      <c r="T84" s="44" t="n"/>
      <c r="U84" s="46" t="n"/>
      <c r="V84" s="44" t="n"/>
      <c r="W84" s="44" t="n"/>
      <c r="X84" s="44" t="n"/>
      <c r="Y84" s="41">
        <f>IF(B84="","",IF(S84&lt;&gt;"",S84,Settings!$B$4)-B84)</f>
        <v/>
      </c>
      <c r="Z84" s="41">
        <f>IF(B84="","",IF(S84&lt;&gt;"",IF(S84&gt;R84,"Closed late","Closed on time"),IF(Settings!$B$4&gt;R84,"Open: overdue","Open")))</f>
        <v/>
      </c>
      <c r="AA84" s="41">
        <f>IF(B84="","",IF(NETWORKDAYS(B84,C84)-1&gt;Settings!$B$5,"Logged late",IF(AND(L84="Escalated",M84=""),"Escalate to Compliance",IF(AND(L84="Escalated",N84=""),"Notify Sponsor Bank",IF(AND(L84="Escalated",N84&lt;&gt;"",NETWORKDAYS(B84,N84)-1&gt;Settings!$B$10),"Sponsor Bank notified late",IF(AND(K84&lt;&gt;"",K84&lt;&gt;"None",Q84=""),"Enter the legal deadline",IF(AND(S84&lt;&gt;"",OR(T84="",V84="")),"Record outcome and root cause",IF(AND(P84="",S84="",Settings!$B$4&gt;O84),"Acknowledgment overdue",""))))))))</f>
        <v/>
      </c>
    </row>
    <row r="85" ht="15.75" customHeight="1" s="31">
      <c r="A85" s="44" t="n"/>
      <c r="B85" s="45" t="n"/>
      <c r="C85" s="45" t="n"/>
      <c r="D85" s="44" t="n"/>
      <c r="E85" s="44" t="n"/>
      <c r="F85" s="44" t="n"/>
      <c r="G85" s="44" t="n"/>
      <c r="H85" s="44" t="n"/>
      <c r="I85" s="44" t="n"/>
      <c r="J85" s="44" t="n"/>
      <c r="K85" s="44" t="n"/>
      <c r="L85" s="41">
        <f>IF(B85="","",IF(OR(COUNTIF(Settings!$E$4:$E$9,D85)&gt;0,I85="Yes",J85="Yes",K85="Fair lending allegation"),"Escalated","Standard"))</f>
        <v/>
      </c>
      <c r="M85" s="45" t="n"/>
      <c r="N85" s="45" t="n"/>
      <c r="O85" s="42">
        <f>IF(B85="","",WORKDAY(B85,Settings!$B$7))</f>
        <v/>
      </c>
      <c r="P85" s="45" t="n"/>
      <c r="Q85" s="45" t="n"/>
      <c r="R85" s="42">
        <f>IF(B85="","",IF(Q85&lt;&gt;"",MIN(Q85,IF(L85="Escalated",B85+Settings!$B$9,WORKDAY(B85,Settings!$B$8))),IF(L85="Escalated",B85+Settings!$B$9,WORKDAY(B85,Settings!$B$8))))</f>
        <v/>
      </c>
      <c r="S85" s="45" t="n"/>
      <c r="T85" s="44" t="n"/>
      <c r="U85" s="46" t="n"/>
      <c r="V85" s="44" t="n"/>
      <c r="W85" s="44" t="n"/>
      <c r="X85" s="44" t="n"/>
      <c r="Y85" s="41">
        <f>IF(B85="","",IF(S85&lt;&gt;"",S85,Settings!$B$4)-B85)</f>
        <v/>
      </c>
      <c r="Z85" s="41">
        <f>IF(B85="","",IF(S85&lt;&gt;"",IF(S85&gt;R85,"Closed late","Closed on time"),IF(Settings!$B$4&gt;R85,"Open: overdue","Open")))</f>
        <v/>
      </c>
      <c r="AA85" s="41">
        <f>IF(B85="","",IF(NETWORKDAYS(B85,C85)-1&gt;Settings!$B$5,"Logged late",IF(AND(L85="Escalated",M85=""),"Escalate to Compliance",IF(AND(L85="Escalated",N85=""),"Notify Sponsor Bank",IF(AND(L85="Escalated",N85&lt;&gt;"",NETWORKDAYS(B85,N85)-1&gt;Settings!$B$10),"Sponsor Bank notified late",IF(AND(K85&lt;&gt;"",K85&lt;&gt;"None",Q85=""),"Enter the legal deadline",IF(AND(S85&lt;&gt;"",OR(T85="",V85="")),"Record outcome and root cause",IF(AND(P85="",S85="",Settings!$B$4&gt;O85),"Acknowledgment overdue",""))))))))</f>
        <v/>
      </c>
    </row>
    <row r="86" ht="15.75" customHeight="1" s="31">
      <c r="A86" s="44" t="n"/>
      <c r="B86" s="45" t="n"/>
      <c r="C86" s="45" t="n"/>
      <c r="D86" s="44" t="n"/>
      <c r="E86" s="44" t="n"/>
      <c r="F86" s="44" t="n"/>
      <c r="G86" s="44" t="n"/>
      <c r="H86" s="44" t="n"/>
      <c r="I86" s="44" t="n"/>
      <c r="J86" s="44" t="n"/>
      <c r="K86" s="44" t="n"/>
      <c r="L86" s="41">
        <f>IF(B86="","",IF(OR(COUNTIF(Settings!$E$4:$E$9,D86)&gt;0,I86="Yes",J86="Yes",K86="Fair lending allegation"),"Escalated","Standard"))</f>
        <v/>
      </c>
      <c r="M86" s="45" t="n"/>
      <c r="N86" s="45" t="n"/>
      <c r="O86" s="42">
        <f>IF(B86="","",WORKDAY(B86,Settings!$B$7))</f>
        <v/>
      </c>
      <c r="P86" s="45" t="n"/>
      <c r="Q86" s="45" t="n"/>
      <c r="R86" s="42">
        <f>IF(B86="","",IF(Q86&lt;&gt;"",MIN(Q86,IF(L86="Escalated",B86+Settings!$B$9,WORKDAY(B86,Settings!$B$8))),IF(L86="Escalated",B86+Settings!$B$9,WORKDAY(B86,Settings!$B$8))))</f>
        <v/>
      </c>
      <c r="S86" s="45" t="n"/>
      <c r="T86" s="44" t="n"/>
      <c r="U86" s="46" t="n"/>
      <c r="V86" s="44" t="n"/>
      <c r="W86" s="44" t="n"/>
      <c r="X86" s="44" t="n"/>
      <c r="Y86" s="41">
        <f>IF(B86="","",IF(S86&lt;&gt;"",S86,Settings!$B$4)-B86)</f>
        <v/>
      </c>
      <c r="Z86" s="41">
        <f>IF(B86="","",IF(S86&lt;&gt;"",IF(S86&gt;R86,"Closed late","Closed on time"),IF(Settings!$B$4&gt;R86,"Open: overdue","Open")))</f>
        <v/>
      </c>
      <c r="AA86" s="41">
        <f>IF(B86="","",IF(NETWORKDAYS(B86,C86)-1&gt;Settings!$B$5,"Logged late",IF(AND(L86="Escalated",M86=""),"Escalate to Compliance",IF(AND(L86="Escalated",N86=""),"Notify Sponsor Bank",IF(AND(L86="Escalated",N86&lt;&gt;"",NETWORKDAYS(B86,N86)-1&gt;Settings!$B$10),"Sponsor Bank notified late",IF(AND(K86&lt;&gt;"",K86&lt;&gt;"None",Q86=""),"Enter the legal deadline",IF(AND(S86&lt;&gt;"",OR(T86="",V86="")),"Record outcome and root cause",IF(AND(P86="",S86="",Settings!$B$4&gt;O86),"Acknowledgment overdue",""))))))))</f>
        <v/>
      </c>
    </row>
    <row r="87" ht="15.75" customHeight="1" s="31">
      <c r="A87" s="44" t="n"/>
      <c r="B87" s="45" t="n"/>
      <c r="C87" s="45" t="n"/>
      <c r="D87" s="44" t="n"/>
      <c r="E87" s="44" t="n"/>
      <c r="F87" s="44" t="n"/>
      <c r="G87" s="44" t="n"/>
      <c r="H87" s="44" t="n"/>
      <c r="I87" s="44" t="n"/>
      <c r="J87" s="44" t="n"/>
      <c r="K87" s="44" t="n"/>
      <c r="L87" s="41">
        <f>IF(B87="","",IF(OR(COUNTIF(Settings!$E$4:$E$9,D87)&gt;0,I87="Yes",J87="Yes",K87="Fair lending allegation"),"Escalated","Standard"))</f>
        <v/>
      </c>
      <c r="M87" s="45" t="n"/>
      <c r="N87" s="45" t="n"/>
      <c r="O87" s="42">
        <f>IF(B87="","",WORKDAY(B87,Settings!$B$7))</f>
        <v/>
      </c>
      <c r="P87" s="45" t="n"/>
      <c r="Q87" s="45" t="n"/>
      <c r="R87" s="42">
        <f>IF(B87="","",IF(Q87&lt;&gt;"",MIN(Q87,IF(L87="Escalated",B87+Settings!$B$9,WORKDAY(B87,Settings!$B$8))),IF(L87="Escalated",B87+Settings!$B$9,WORKDAY(B87,Settings!$B$8))))</f>
        <v/>
      </c>
      <c r="S87" s="45" t="n"/>
      <c r="T87" s="44" t="n"/>
      <c r="U87" s="46" t="n"/>
      <c r="V87" s="44" t="n"/>
      <c r="W87" s="44" t="n"/>
      <c r="X87" s="44" t="n"/>
      <c r="Y87" s="41">
        <f>IF(B87="","",IF(S87&lt;&gt;"",S87,Settings!$B$4)-B87)</f>
        <v/>
      </c>
      <c r="Z87" s="41">
        <f>IF(B87="","",IF(S87&lt;&gt;"",IF(S87&gt;R87,"Closed late","Closed on time"),IF(Settings!$B$4&gt;R87,"Open: overdue","Open")))</f>
        <v/>
      </c>
      <c r="AA87" s="41">
        <f>IF(B87="","",IF(NETWORKDAYS(B87,C87)-1&gt;Settings!$B$5,"Logged late",IF(AND(L87="Escalated",M87=""),"Escalate to Compliance",IF(AND(L87="Escalated",N87=""),"Notify Sponsor Bank",IF(AND(L87="Escalated",N87&lt;&gt;"",NETWORKDAYS(B87,N87)-1&gt;Settings!$B$10),"Sponsor Bank notified late",IF(AND(K87&lt;&gt;"",K87&lt;&gt;"None",Q87=""),"Enter the legal deadline",IF(AND(S87&lt;&gt;"",OR(T87="",V87="")),"Record outcome and root cause",IF(AND(P87="",S87="",Settings!$B$4&gt;O87),"Acknowledgment overdue",""))))))))</f>
        <v/>
      </c>
    </row>
    <row r="88" ht="15.75" customHeight="1" s="31">
      <c r="A88" s="44" t="n"/>
      <c r="B88" s="45" t="n"/>
      <c r="C88" s="45" t="n"/>
      <c r="D88" s="44" t="n"/>
      <c r="E88" s="44" t="n"/>
      <c r="F88" s="44" t="n"/>
      <c r="G88" s="44" t="n"/>
      <c r="H88" s="44" t="n"/>
      <c r="I88" s="44" t="n"/>
      <c r="J88" s="44" t="n"/>
      <c r="K88" s="44" t="n"/>
      <c r="L88" s="41">
        <f>IF(B88="","",IF(OR(COUNTIF(Settings!$E$4:$E$9,D88)&gt;0,I88="Yes",J88="Yes",K88="Fair lending allegation"),"Escalated","Standard"))</f>
        <v/>
      </c>
      <c r="M88" s="45" t="n"/>
      <c r="N88" s="45" t="n"/>
      <c r="O88" s="42">
        <f>IF(B88="","",WORKDAY(B88,Settings!$B$7))</f>
        <v/>
      </c>
      <c r="P88" s="45" t="n"/>
      <c r="Q88" s="45" t="n"/>
      <c r="R88" s="42">
        <f>IF(B88="","",IF(Q88&lt;&gt;"",MIN(Q88,IF(L88="Escalated",B88+Settings!$B$9,WORKDAY(B88,Settings!$B$8))),IF(L88="Escalated",B88+Settings!$B$9,WORKDAY(B88,Settings!$B$8))))</f>
        <v/>
      </c>
      <c r="S88" s="45" t="n"/>
      <c r="T88" s="44" t="n"/>
      <c r="U88" s="46" t="n"/>
      <c r="V88" s="44" t="n"/>
      <c r="W88" s="44" t="n"/>
      <c r="X88" s="44" t="n"/>
      <c r="Y88" s="41">
        <f>IF(B88="","",IF(S88&lt;&gt;"",S88,Settings!$B$4)-B88)</f>
        <v/>
      </c>
      <c r="Z88" s="41">
        <f>IF(B88="","",IF(S88&lt;&gt;"",IF(S88&gt;R88,"Closed late","Closed on time"),IF(Settings!$B$4&gt;R88,"Open: overdue","Open")))</f>
        <v/>
      </c>
      <c r="AA88" s="41">
        <f>IF(B88="","",IF(NETWORKDAYS(B88,C88)-1&gt;Settings!$B$5,"Logged late",IF(AND(L88="Escalated",M88=""),"Escalate to Compliance",IF(AND(L88="Escalated",N88=""),"Notify Sponsor Bank",IF(AND(L88="Escalated",N88&lt;&gt;"",NETWORKDAYS(B88,N88)-1&gt;Settings!$B$10),"Sponsor Bank notified late",IF(AND(K88&lt;&gt;"",K88&lt;&gt;"None",Q88=""),"Enter the legal deadline",IF(AND(S88&lt;&gt;"",OR(T88="",V88="")),"Record outcome and root cause",IF(AND(P88="",S88="",Settings!$B$4&gt;O88),"Acknowledgment overdue",""))))))))</f>
        <v/>
      </c>
    </row>
    <row r="89" ht="15.75" customHeight="1" s="31">
      <c r="A89" s="44" t="n"/>
      <c r="B89" s="45" t="n"/>
      <c r="C89" s="45" t="n"/>
      <c r="D89" s="44" t="n"/>
      <c r="E89" s="44" t="n"/>
      <c r="F89" s="44" t="n"/>
      <c r="G89" s="44" t="n"/>
      <c r="H89" s="44" t="n"/>
      <c r="I89" s="44" t="n"/>
      <c r="J89" s="44" t="n"/>
      <c r="K89" s="44" t="n"/>
      <c r="L89" s="41">
        <f>IF(B89="","",IF(OR(COUNTIF(Settings!$E$4:$E$9,D89)&gt;0,I89="Yes",J89="Yes",K89="Fair lending allegation"),"Escalated","Standard"))</f>
        <v/>
      </c>
      <c r="M89" s="45" t="n"/>
      <c r="N89" s="45" t="n"/>
      <c r="O89" s="42">
        <f>IF(B89="","",WORKDAY(B89,Settings!$B$7))</f>
        <v/>
      </c>
      <c r="P89" s="45" t="n"/>
      <c r="Q89" s="45" t="n"/>
      <c r="R89" s="42">
        <f>IF(B89="","",IF(Q89&lt;&gt;"",MIN(Q89,IF(L89="Escalated",B89+Settings!$B$9,WORKDAY(B89,Settings!$B$8))),IF(L89="Escalated",B89+Settings!$B$9,WORKDAY(B89,Settings!$B$8))))</f>
        <v/>
      </c>
      <c r="S89" s="45" t="n"/>
      <c r="T89" s="44" t="n"/>
      <c r="U89" s="46" t="n"/>
      <c r="V89" s="44" t="n"/>
      <c r="W89" s="44" t="n"/>
      <c r="X89" s="44" t="n"/>
      <c r="Y89" s="41">
        <f>IF(B89="","",IF(S89&lt;&gt;"",S89,Settings!$B$4)-B89)</f>
        <v/>
      </c>
      <c r="Z89" s="41">
        <f>IF(B89="","",IF(S89&lt;&gt;"",IF(S89&gt;R89,"Closed late","Closed on time"),IF(Settings!$B$4&gt;R89,"Open: overdue","Open")))</f>
        <v/>
      </c>
      <c r="AA89" s="41">
        <f>IF(B89="","",IF(NETWORKDAYS(B89,C89)-1&gt;Settings!$B$5,"Logged late",IF(AND(L89="Escalated",M89=""),"Escalate to Compliance",IF(AND(L89="Escalated",N89=""),"Notify Sponsor Bank",IF(AND(L89="Escalated",N89&lt;&gt;"",NETWORKDAYS(B89,N89)-1&gt;Settings!$B$10),"Sponsor Bank notified late",IF(AND(K89&lt;&gt;"",K89&lt;&gt;"None",Q89=""),"Enter the legal deadline",IF(AND(S89&lt;&gt;"",OR(T89="",V89="")),"Record outcome and root cause",IF(AND(P89="",S89="",Settings!$B$4&gt;O89),"Acknowledgment overdue",""))))))))</f>
        <v/>
      </c>
    </row>
    <row r="90" ht="15.75" customHeight="1" s="31">
      <c r="A90" s="44" t="n"/>
      <c r="B90" s="45" t="n"/>
      <c r="C90" s="45" t="n"/>
      <c r="D90" s="44" t="n"/>
      <c r="E90" s="44" t="n"/>
      <c r="F90" s="44" t="n"/>
      <c r="G90" s="44" t="n"/>
      <c r="H90" s="44" t="n"/>
      <c r="I90" s="44" t="n"/>
      <c r="J90" s="44" t="n"/>
      <c r="K90" s="44" t="n"/>
      <c r="L90" s="41">
        <f>IF(B90="","",IF(OR(COUNTIF(Settings!$E$4:$E$9,D90)&gt;0,I90="Yes",J90="Yes",K90="Fair lending allegation"),"Escalated","Standard"))</f>
        <v/>
      </c>
      <c r="M90" s="45" t="n"/>
      <c r="N90" s="45" t="n"/>
      <c r="O90" s="42">
        <f>IF(B90="","",WORKDAY(B90,Settings!$B$7))</f>
        <v/>
      </c>
      <c r="P90" s="45" t="n"/>
      <c r="Q90" s="45" t="n"/>
      <c r="R90" s="42">
        <f>IF(B90="","",IF(Q90&lt;&gt;"",MIN(Q90,IF(L90="Escalated",B90+Settings!$B$9,WORKDAY(B90,Settings!$B$8))),IF(L90="Escalated",B90+Settings!$B$9,WORKDAY(B90,Settings!$B$8))))</f>
        <v/>
      </c>
      <c r="S90" s="45" t="n"/>
      <c r="T90" s="44" t="n"/>
      <c r="U90" s="46" t="n"/>
      <c r="V90" s="44" t="n"/>
      <c r="W90" s="44" t="n"/>
      <c r="X90" s="44" t="n"/>
      <c r="Y90" s="41">
        <f>IF(B90="","",IF(S90&lt;&gt;"",S90,Settings!$B$4)-B90)</f>
        <v/>
      </c>
      <c r="Z90" s="41">
        <f>IF(B90="","",IF(S90&lt;&gt;"",IF(S90&gt;R90,"Closed late","Closed on time"),IF(Settings!$B$4&gt;R90,"Open: overdue","Open")))</f>
        <v/>
      </c>
      <c r="AA90" s="41">
        <f>IF(B90="","",IF(NETWORKDAYS(B90,C90)-1&gt;Settings!$B$5,"Logged late",IF(AND(L90="Escalated",M90=""),"Escalate to Compliance",IF(AND(L90="Escalated",N90=""),"Notify Sponsor Bank",IF(AND(L90="Escalated",N90&lt;&gt;"",NETWORKDAYS(B90,N90)-1&gt;Settings!$B$10),"Sponsor Bank notified late",IF(AND(K90&lt;&gt;"",K90&lt;&gt;"None",Q90=""),"Enter the legal deadline",IF(AND(S90&lt;&gt;"",OR(T90="",V90="")),"Record outcome and root cause",IF(AND(P90="",S90="",Settings!$B$4&gt;O90),"Acknowledgment overdue",""))))))))</f>
        <v/>
      </c>
    </row>
    <row r="91" ht="15.75" customHeight="1" s="31">
      <c r="A91" s="44" t="n"/>
      <c r="B91" s="45" t="n"/>
      <c r="C91" s="45" t="n"/>
      <c r="D91" s="44" t="n"/>
      <c r="E91" s="44" t="n"/>
      <c r="F91" s="44" t="n"/>
      <c r="G91" s="44" t="n"/>
      <c r="H91" s="44" t="n"/>
      <c r="I91" s="44" t="n"/>
      <c r="J91" s="44" t="n"/>
      <c r="K91" s="44" t="n"/>
      <c r="L91" s="41">
        <f>IF(B91="","",IF(OR(COUNTIF(Settings!$E$4:$E$9,D91)&gt;0,I91="Yes",J91="Yes",K91="Fair lending allegation"),"Escalated","Standard"))</f>
        <v/>
      </c>
      <c r="M91" s="45" t="n"/>
      <c r="N91" s="45" t="n"/>
      <c r="O91" s="42">
        <f>IF(B91="","",WORKDAY(B91,Settings!$B$7))</f>
        <v/>
      </c>
      <c r="P91" s="45" t="n"/>
      <c r="Q91" s="45" t="n"/>
      <c r="R91" s="42">
        <f>IF(B91="","",IF(Q91&lt;&gt;"",MIN(Q91,IF(L91="Escalated",B91+Settings!$B$9,WORKDAY(B91,Settings!$B$8))),IF(L91="Escalated",B91+Settings!$B$9,WORKDAY(B91,Settings!$B$8))))</f>
        <v/>
      </c>
      <c r="S91" s="45" t="n"/>
      <c r="T91" s="44" t="n"/>
      <c r="U91" s="46" t="n"/>
      <c r="V91" s="44" t="n"/>
      <c r="W91" s="44" t="n"/>
      <c r="X91" s="44" t="n"/>
      <c r="Y91" s="41">
        <f>IF(B91="","",IF(S91&lt;&gt;"",S91,Settings!$B$4)-B91)</f>
        <v/>
      </c>
      <c r="Z91" s="41">
        <f>IF(B91="","",IF(S91&lt;&gt;"",IF(S91&gt;R91,"Closed late","Closed on time"),IF(Settings!$B$4&gt;R91,"Open: overdue","Open")))</f>
        <v/>
      </c>
      <c r="AA91" s="41">
        <f>IF(B91="","",IF(NETWORKDAYS(B91,C91)-1&gt;Settings!$B$5,"Logged late",IF(AND(L91="Escalated",M91=""),"Escalate to Compliance",IF(AND(L91="Escalated",N91=""),"Notify Sponsor Bank",IF(AND(L91="Escalated",N91&lt;&gt;"",NETWORKDAYS(B91,N91)-1&gt;Settings!$B$10),"Sponsor Bank notified late",IF(AND(K91&lt;&gt;"",K91&lt;&gt;"None",Q91=""),"Enter the legal deadline",IF(AND(S91&lt;&gt;"",OR(T91="",V91="")),"Record outcome and root cause",IF(AND(P91="",S91="",Settings!$B$4&gt;O91),"Acknowledgment overdue",""))))))))</f>
        <v/>
      </c>
    </row>
    <row r="92" ht="15.75" customHeight="1" s="31">
      <c r="A92" s="44" t="n"/>
      <c r="B92" s="45" t="n"/>
      <c r="C92" s="45" t="n"/>
      <c r="D92" s="44" t="n"/>
      <c r="E92" s="44" t="n"/>
      <c r="F92" s="44" t="n"/>
      <c r="G92" s="44" t="n"/>
      <c r="H92" s="44" t="n"/>
      <c r="I92" s="44" t="n"/>
      <c r="J92" s="44" t="n"/>
      <c r="K92" s="44" t="n"/>
      <c r="L92" s="41">
        <f>IF(B92="","",IF(OR(COUNTIF(Settings!$E$4:$E$9,D92)&gt;0,I92="Yes",J92="Yes",K92="Fair lending allegation"),"Escalated","Standard"))</f>
        <v/>
      </c>
      <c r="M92" s="45" t="n"/>
      <c r="N92" s="45" t="n"/>
      <c r="O92" s="42">
        <f>IF(B92="","",WORKDAY(B92,Settings!$B$7))</f>
        <v/>
      </c>
      <c r="P92" s="45" t="n"/>
      <c r="Q92" s="45" t="n"/>
      <c r="R92" s="42">
        <f>IF(B92="","",IF(Q92&lt;&gt;"",MIN(Q92,IF(L92="Escalated",B92+Settings!$B$9,WORKDAY(B92,Settings!$B$8))),IF(L92="Escalated",B92+Settings!$B$9,WORKDAY(B92,Settings!$B$8))))</f>
        <v/>
      </c>
      <c r="S92" s="45" t="n"/>
      <c r="T92" s="44" t="n"/>
      <c r="U92" s="46" t="n"/>
      <c r="V92" s="44" t="n"/>
      <c r="W92" s="44" t="n"/>
      <c r="X92" s="44" t="n"/>
      <c r="Y92" s="41">
        <f>IF(B92="","",IF(S92&lt;&gt;"",S92,Settings!$B$4)-B92)</f>
        <v/>
      </c>
      <c r="Z92" s="41">
        <f>IF(B92="","",IF(S92&lt;&gt;"",IF(S92&gt;R92,"Closed late","Closed on time"),IF(Settings!$B$4&gt;R92,"Open: overdue","Open")))</f>
        <v/>
      </c>
      <c r="AA92" s="41">
        <f>IF(B92="","",IF(NETWORKDAYS(B92,C92)-1&gt;Settings!$B$5,"Logged late",IF(AND(L92="Escalated",M92=""),"Escalate to Compliance",IF(AND(L92="Escalated",N92=""),"Notify Sponsor Bank",IF(AND(L92="Escalated",N92&lt;&gt;"",NETWORKDAYS(B92,N92)-1&gt;Settings!$B$10),"Sponsor Bank notified late",IF(AND(K92&lt;&gt;"",K92&lt;&gt;"None",Q92=""),"Enter the legal deadline",IF(AND(S92&lt;&gt;"",OR(T92="",V92="")),"Record outcome and root cause",IF(AND(P92="",S92="",Settings!$B$4&gt;O92),"Acknowledgment overdue",""))))))))</f>
        <v/>
      </c>
    </row>
    <row r="93" ht="15.75" customHeight="1" s="31">
      <c r="A93" s="44" t="n"/>
      <c r="B93" s="45" t="n"/>
      <c r="C93" s="45" t="n"/>
      <c r="D93" s="44" t="n"/>
      <c r="E93" s="44" t="n"/>
      <c r="F93" s="44" t="n"/>
      <c r="G93" s="44" t="n"/>
      <c r="H93" s="44" t="n"/>
      <c r="I93" s="44" t="n"/>
      <c r="J93" s="44" t="n"/>
      <c r="K93" s="44" t="n"/>
      <c r="L93" s="41">
        <f>IF(B93="","",IF(OR(COUNTIF(Settings!$E$4:$E$9,D93)&gt;0,I93="Yes",J93="Yes",K93="Fair lending allegation"),"Escalated","Standard"))</f>
        <v/>
      </c>
      <c r="M93" s="45" t="n"/>
      <c r="N93" s="45" t="n"/>
      <c r="O93" s="42">
        <f>IF(B93="","",WORKDAY(B93,Settings!$B$7))</f>
        <v/>
      </c>
      <c r="P93" s="45" t="n"/>
      <c r="Q93" s="45" t="n"/>
      <c r="R93" s="42">
        <f>IF(B93="","",IF(Q93&lt;&gt;"",MIN(Q93,IF(L93="Escalated",B93+Settings!$B$9,WORKDAY(B93,Settings!$B$8))),IF(L93="Escalated",B93+Settings!$B$9,WORKDAY(B93,Settings!$B$8))))</f>
        <v/>
      </c>
      <c r="S93" s="45" t="n"/>
      <c r="T93" s="44" t="n"/>
      <c r="U93" s="46" t="n"/>
      <c r="V93" s="44" t="n"/>
      <c r="W93" s="44" t="n"/>
      <c r="X93" s="44" t="n"/>
      <c r="Y93" s="41">
        <f>IF(B93="","",IF(S93&lt;&gt;"",S93,Settings!$B$4)-B93)</f>
        <v/>
      </c>
      <c r="Z93" s="41">
        <f>IF(B93="","",IF(S93&lt;&gt;"",IF(S93&gt;R93,"Closed late","Closed on time"),IF(Settings!$B$4&gt;R93,"Open: overdue","Open")))</f>
        <v/>
      </c>
      <c r="AA93" s="41">
        <f>IF(B93="","",IF(NETWORKDAYS(B93,C93)-1&gt;Settings!$B$5,"Logged late",IF(AND(L93="Escalated",M93=""),"Escalate to Compliance",IF(AND(L93="Escalated",N93=""),"Notify Sponsor Bank",IF(AND(L93="Escalated",N93&lt;&gt;"",NETWORKDAYS(B93,N93)-1&gt;Settings!$B$10),"Sponsor Bank notified late",IF(AND(K93&lt;&gt;"",K93&lt;&gt;"None",Q93=""),"Enter the legal deadline",IF(AND(S93&lt;&gt;"",OR(T93="",V93="")),"Record outcome and root cause",IF(AND(P93="",S93="",Settings!$B$4&gt;O93),"Acknowledgment overdue",""))))))))</f>
        <v/>
      </c>
    </row>
    <row r="94" ht="15.75" customHeight="1" s="31">
      <c r="A94" s="44" t="n"/>
      <c r="B94" s="45" t="n"/>
      <c r="C94" s="45" t="n"/>
      <c r="D94" s="44" t="n"/>
      <c r="E94" s="44" t="n"/>
      <c r="F94" s="44" t="n"/>
      <c r="G94" s="44" t="n"/>
      <c r="H94" s="44" t="n"/>
      <c r="I94" s="44" t="n"/>
      <c r="J94" s="44" t="n"/>
      <c r="K94" s="44" t="n"/>
      <c r="L94" s="41">
        <f>IF(B94="","",IF(OR(COUNTIF(Settings!$E$4:$E$9,D94)&gt;0,I94="Yes",J94="Yes",K94="Fair lending allegation"),"Escalated","Standard"))</f>
        <v/>
      </c>
      <c r="M94" s="45" t="n"/>
      <c r="N94" s="45" t="n"/>
      <c r="O94" s="42">
        <f>IF(B94="","",WORKDAY(B94,Settings!$B$7))</f>
        <v/>
      </c>
      <c r="P94" s="45" t="n"/>
      <c r="Q94" s="45" t="n"/>
      <c r="R94" s="42">
        <f>IF(B94="","",IF(Q94&lt;&gt;"",MIN(Q94,IF(L94="Escalated",B94+Settings!$B$9,WORKDAY(B94,Settings!$B$8))),IF(L94="Escalated",B94+Settings!$B$9,WORKDAY(B94,Settings!$B$8))))</f>
        <v/>
      </c>
      <c r="S94" s="45" t="n"/>
      <c r="T94" s="44" t="n"/>
      <c r="U94" s="46" t="n"/>
      <c r="V94" s="44" t="n"/>
      <c r="W94" s="44" t="n"/>
      <c r="X94" s="44" t="n"/>
      <c r="Y94" s="41">
        <f>IF(B94="","",IF(S94&lt;&gt;"",S94,Settings!$B$4)-B94)</f>
        <v/>
      </c>
      <c r="Z94" s="41">
        <f>IF(B94="","",IF(S94&lt;&gt;"",IF(S94&gt;R94,"Closed late","Closed on time"),IF(Settings!$B$4&gt;R94,"Open: overdue","Open")))</f>
        <v/>
      </c>
      <c r="AA94" s="41">
        <f>IF(B94="","",IF(NETWORKDAYS(B94,C94)-1&gt;Settings!$B$5,"Logged late",IF(AND(L94="Escalated",M94=""),"Escalate to Compliance",IF(AND(L94="Escalated",N94=""),"Notify Sponsor Bank",IF(AND(L94="Escalated",N94&lt;&gt;"",NETWORKDAYS(B94,N94)-1&gt;Settings!$B$10),"Sponsor Bank notified late",IF(AND(K94&lt;&gt;"",K94&lt;&gt;"None",Q94=""),"Enter the legal deadline",IF(AND(S94&lt;&gt;"",OR(T94="",V94="")),"Record outcome and root cause",IF(AND(P94="",S94="",Settings!$B$4&gt;O94),"Acknowledgment overdue",""))))))))</f>
        <v/>
      </c>
    </row>
    <row r="95" ht="15.75" customHeight="1" s="31">
      <c r="A95" s="44" t="n"/>
      <c r="B95" s="45" t="n"/>
      <c r="C95" s="45" t="n"/>
      <c r="D95" s="44" t="n"/>
      <c r="E95" s="44" t="n"/>
      <c r="F95" s="44" t="n"/>
      <c r="G95" s="44" t="n"/>
      <c r="H95" s="44" t="n"/>
      <c r="I95" s="44" t="n"/>
      <c r="J95" s="44" t="n"/>
      <c r="K95" s="44" t="n"/>
      <c r="L95" s="41">
        <f>IF(B95="","",IF(OR(COUNTIF(Settings!$E$4:$E$9,D95)&gt;0,I95="Yes",J95="Yes",K95="Fair lending allegation"),"Escalated","Standard"))</f>
        <v/>
      </c>
      <c r="M95" s="45" t="n"/>
      <c r="N95" s="45" t="n"/>
      <c r="O95" s="42">
        <f>IF(B95="","",WORKDAY(B95,Settings!$B$7))</f>
        <v/>
      </c>
      <c r="P95" s="45" t="n"/>
      <c r="Q95" s="45" t="n"/>
      <c r="R95" s="42">
        <f>IF(B95="","",IF(Q95&lt;&gt;"",MIN(Q95,IF(L95="Escalated",B95+Settings!$B$9,WORKDAY(B95,Settings!$B$8))),IF(L95="Escalated",B95+Settings!$B$9,WORKDAY(B95,Settings!$B$8))))</f>
        <v/>
      </c>
      <c r="S95" s="45" t="n"/>
      <c r="T95" s="44" t="n"/>
      <c r="U95" s="46" t="n"/>
      <c r="V95" s="44" t="n"/>
      <c r="W95" s="44" t="n"/>
      <c r="X95" s="44" t="n"/>
      <c r="Y95" s="41">
        <f>IF(B95="","",IF(S95&lt;&gt;"",S95,Settings!$B$4)-B95)</f>
        <v/>
      </c>
      <c r="Z95" s="41">
        <f>IF(B95="","",IF(S95&lt;&gt;"",IF(S95&gt;R95,"Closed late","Closed on time"),IF(Settings!$B$4&gt;R95,"Open: overdue","Open")))</f>
        <v/>
      </c>
      <c r="AA95" s="41">
        <f>IF(B95="","",IF(NETWORKDAYS(B95,C95)-1&gt;Settings!$B$5,"Logged late",IF(AND(L95="Escalated",M95=""),"Escalate to Compliance",IF(AND(L95="Escalated",N95=""),"Notify Sponsor Bank",IF(AND(L95="Escalated",N95&lt;&gt;"",NETWORKDAYS(B95,N95)-1&gt;Settings!$B$10),"Sponsor Bank notified late",IF(AND(K95&lt;&gt;"",K95&lt;&gt;"None",Q95=""),"Enter the legal deadline",IF(AND(S95&lt;&gt;"",OR(T95="",V95="")),"Record outcome and root cause",IF(AND(P95="",S95="",Settings!$B$4&gt;O95),"Acknowledgment overdue",""))))))))</f>
        <v/>
      </c>
    </row>
    <row r="96" ht="15.75" customHeight="1" s="31">
      <c r="A96" s="44" t="n"/>
      <c r="B96" s="45" t="n"/>
      <c r="C96" s="45" t="n"/>
      <c r="D96" s="44" t="n"/>
      <c r="E96" s="44" t="n"/>
      <c r="F96" s="44" t="n"/>
      <c r="G96" s="44" t="n"/>
      <c r="H96" s="44" t="n"/>
      <c r="I96" s="44" t="n"/>
      <c r="J96" s="44" t="n"/>
      <c r="K96" s="44" t="n"/>
      <c r="L96" s="41">
        <f>IF(B96="","",IF(OR(COUNTIF(Settings!$E$4:$E$9,D96)&gt;0,I96="Yes",J96="Yes",K96="Fair lending allegation"),"Escalated","Standard"))</f>
        <v/>
      </c>
      <c r="M96" s="45" t="n"/>
      <c r="N96" s="45" t="n"/>
      <c r="O96" s="42">
        <f>IF(B96="","",WORKDAY(B96,Settings!$B$7))</f>
        <v/>
      </c>
      <c r="P96" s="45" t="n"/>
      <c r="Q96" s="45" t="n"/>
      <c r="R96" s="42">
        <f>IF(B96="","",IF(Q96&lt;&gt;"",MIN(Q96,IF(L96="Escalated",B96+Settings!$B$9,WORKDAY(B96,Settings!$B$8))),IF(L96="Escalated",B96+Settings!$B$9,WORKDAY(B96,Settings!$B$8))))</f>
        <v/>
      </c>
      <c r="S96" s="45" t="n"/>
      <c r="T96" s="44" t="n"/>
      <c r="U96" s="46" t="n"/>
      <c r="V96" s="44" t="n"/>
      <c r="W96" s="44" t="n"/>
      <c r="X96" s="44" t="n"/>
      <c r="Y96" s="41">
        <f>IF(B96="","",IF(S96&lt;&gt;"",S96,Settings!$B$4)-B96)</f>
        <v/>
      </c>
      <c r="Z96" s="41">
        <f>IF(B96="","",IF(S96&lt;&gt;"",IF(S96&gt;R96,"Closed late","Closed on time"),IF(Settings!$B$4&gt;R96,"Open: overdue","Open")))</f>
        <v/>
      </c>
      <c r="AA96" s="41">
        <f>IF(B96="","",IF(NETWORKDAYS(B96,C96)-1&gt;Settings!$B$5,"Logged late",IF(AND(L96="Escalated",M96=""),"Escalate to Compliance",IF(AND(L96="Escalated",N96=""),"Notify Sponsor Bank",IF(AND(L96="Escalated",N96&lt;&gt;"",NETWORKDAYS(B96,N96)-1&gt;Settings!$B$10),"Sponsor Bank notified late",IF(AND(K96&lt;&gt;"",K96&lt;&gt;"None",Q96=""),"Enter the legal deadline",IF(AND(S96&lt;&gt;"",OR(T96="",V96="")),"Record outcome and root cause",IF(AND(P96="",S96="",Settings!$B$4&gt;O96),"Acknowledgment overdue",""))))))))</f>
        <v/>
      </c>
    </row>
    <row r="97" ht="15.75" customHeight="1" s="31">
      <c r="A97" s="44" t="n"/>
      <c r="B97" s="45" t="n"/>
      <c r="C97" s="45" t="n"/>
      <c r="D97" s="44" t="n"/>
      <c r="E97" s="44" t="n"/>
      <c r="F97" s="44" t="n"/>
      <c r="G97" s="44" t="n"/>
      <c r="H97" s="44" t="n"/>
      <c r="I97" s="44" t="n"/>
      <c r="J97" s="44" t="n"/>
      <c r="K97" s="44" t="n"/>
      <c r="L97" s="41">
        <f>IF(B97="","",IF(OR(COUNTIF(Settings!$E$4:$E$9,D97)&gt;0,I97="Yes",J97="Yes",K97="Fair lending allegation"),"Escalated","Standard"))</f>
        <v/>
      </c>
      <c r="M97" s="45" t="n"/>
      <c r="N97" s="45" t="n"/>
      <c r="O97" s="42">
        <f>IF(B97="","",WORKDAY(B97,Settings!$B$7))</f>
        <v/>
      </c>
      <c r="P97" s="45" t="n"/>
      <c r="Q97" s="45" t="n"/>
      <c r="R97" s="42">
        <f>IF(B97="","",IF(Q97&lt;&gt;"",MIN(Q97,IF(L97="Escalated",B97+Settings!$B$9,WORKDAY(B97,Settings!$B$8))),IF(L97="Escalated",B97+Settings!$B$9,WORKDAY(B97,Settings!$B$8))))</f>
        <v/>
      </c>
      <c r="S97" s="45" t="n"/>
      <c r="T97" s="44" t="n"/>
      <c r="U97" s="46" t="n"/>
      <c r="V97" s="44" t="n"/>
      <c r="W97" s="44" t="n"/>
      <c r="X97" s="44" t="n"/>
      <c r="Y97" s="41">
        <f>IF(B97="","",IF(S97&lt;&gt;"",S97,Settings!$B$4)-B97)</f>
        <v/>
      </c>
      <c r="Z97" s="41">
        <f>IF(B97="","",IF(S97&lt;&gt;"",IF(S97&gt;R97,"Closed late","Closed on time"),IF(Settings!$B$4&gt;R97,"Open: overdue","Open")))</f>
        <v/>
      </c>
      <c r="AA97" s="41">
        <f>IF(B97="","",IF(NETWORKDAYS(B97,C97)-1&gt;Settings!$B$5,"Logged late",IF(AND(L97="Escalated",M97=""),"Escalate to Compliance",IF(AND(L97="Escalated",N97=""),"Notify Sponsor Bank",IF(AND(L97="Escalated",N97&lt;&gt;"",NETWORKDAYS(B97,N97)-1&gt;Settings!$B$10),"Sponsor Bank notified late",IF(AND(K97&lt;&gt;"",K97&lt;&gt;"None",Q97=""),"Enter the legal deadline",IF(AND(S97&lt;&gt;"",OR(T97="",V97="")),"Record outcome and root cause",IF(AND(P97="",S97="",Settings!$B$4&gt;O97),"Acknowledgment overdue",""))))))))</f>
        <v/>
      </c>
    </row>
    <row r="98" ht="15.75" customHeight="1" s="31">
      <c r="A98" s="44" t="n"/>
      <c r="B98" s="45" t="n"/>
      <c r="C98" s="45" t="n"/>
      <c r="D98" s="44" t="n"/>
      <c r="E98" s="44" t="n"/>
      <c r="F98" s="44" t="n"/>
      <c r="G98" s="44" t="n"/>
      <c r="H98" s="44" t="n"/>
      <c r="I98" s="44" t="n"/>
      <c r="J98" s="44" t="n"/>
      <c r="K98" s="44" t="n"/>
      <c r="L98" s="41">
        <f>IF(B98="","",IF(OR(COUNTIF(Settings!$E$4:$E$9,D98)&gt;0,I98="Yes",J98="Yes",K98="Fair lending allegation"),"Escalated","Standard"))</f>
        <v/>
      </c>
      <c r="M98" s="45" t="n"/>
      <c r="N98" s="45" t="n"/>
      <c r="O98" s="42">
        <f>IF(B98="","",WORKDAY(B98,Settings!$B$7))</f>
        <v/>
      </c>
      <c r="P98" s="45" t="n"/>
      <c r="Q98" s="45" t="n"/>
      <c r="R98" s="42">
        <f>IF(B98="","",IF(Q98&lt;&gt;"",MIN(Q98,IF(L98="Escalated",B98+Settings!$B$9,WORKDAY(B98,Settings!$B$8))),IF(L98="Escalated",B98+Settings!$B$9,WORKDAY(B98,Settings!$B$8))))</f>
        <v/>
      </c>
      <c r="S98" s="45" t="n"/>
      <c r="T98" s="44" t="n"/>
      <c r="U98" s="46" t="n"/>
      <c r="V98" s="44" t="n"/>
      <c r="W98" s="44" t="n"/>
      <c r="X98" s="44" t="n"/>
      <c r="Y98" s="41">
        <f>IF(B98="","",IF(S98&lt;&gt;"",S98,Settings!$B$4)-B98)</f>
        <v/>
      </c>
      <c r="Z98" s="41">
        <f>IF(B98="","",IF(S98&lt;&gt;"",IF(S98&gt;R98,"Closed late","Closed on time"),IF(Settings!$B$4&gt;R98,"Open: overdue","Open")))</f>
        <v/>
      </c>
      <c r="AA98" s="41">
        <f>IF(B98="","",IF(NETWORKDAYS(B98,C98)-1&gt;Settings!$B$5,"Logged late",IF(AND(L98="Escalated",M98=""),"Escalate to Compliance",IF(AND(L98="Escalated",N98=""),"Notify Sponsor Bank",IF(AND(L98="Escalated",N98&lt;&gt;"",NETWORKDAYS(B98,N98)-1&gt;Settings!$B$10),"Sponsor Bank notified late",IF(AND(K98&lt;&gt;"",K98&lt;&gt;"None",Q98=""),"Enter the legal deadline",IF(AND(S98&lt;&gt;"",OR(T98="",V98="")),"Record outcome and root cause",IF(AND(P98="",S98="",Settings!$B$4&gt;O98),"Acknowledgment overdue",""))))))))</f>
        <v/>
      </c>
    </row>
    <row r="99" ht="15.75" customHeight="1" s="31">
      <c r="A99" s="44" t="n"/>
      <c r="B99" s="45" t="n"/>
      <c r="C99" s="45" t="n"/>
      <c r="D99" s="44" t="n"/>
      <c r="E99" s="44" t="n"/>
      <c r="F99" s="44" t="n"/>
      <c r="G99" s="44" t="n"/>
      <c r="H99" s="44" t="n"/>
      <c r="I99" s="44" t="n"/>
      <c r="J99" s="44" t="n"/>
      <c r="K99" s="44" t="n"/>
      <c r="L99" s="41">
        <f>IF(B99="","",IF(OR(COUNTIF(Settings!$E$4:$E$9,D99)&gt;0,I99="Yes",J99="Yes",K99="Fair lending allegation"),"Escalated","Standard"))</f>
        <v/>
      </c>
      <c r="M99" s="45" t="n"/>
      <c r="N99" s="45" t="n"/>
      <c r="O99" s="42">
        <f>IF(B99="","",WORKDAY(B99,Settings!$B$7))</f>
        <v/>
      </c>
      <c r="P99" s="45" t="n"/>
      <c r="Q99" s="45" t="n"/>
      <c r="R99" s="42">
        <f>IF(B99="","",IF(Q99&lt;&gt;"",MIN(Q99,IF(L99="Escalated",B99+Settings!$B$9,WORKDAY(B99,Settings!$B$8))),IF(L99="Escalated",B99+Settings!$B$9,WORKDAY(B99,Settings!$B$8))))</f>
        <v/>
      </c>
      <c r="S99" s="45" t="n"/>
      <c r="T99" s="44" t="n"/>
      <c r="U99" s="46" t="n"/>
      <c r="V99" s="44" t="n"/>
      <c r="W99" s="44" t="n"/>
      <c r="X99" s="44" t="n"/>
      <c r="Y99" s="41">
        <f>IF(B99="","",IF(S99&lt;&gt;"",S99,Settings!$B$4)-B99)</f>
        <v/>
      </c>
      <c r="Z99" s="41">
        <f>IF(B99="","",IF(S99&lt;&gt;"",IF(S99&gt;R99,"Closed late","Closed on time"),IF(Settings!$B$4&gt;R99,"Open: overdue","Open")))</f>
        <v/>
      </c>
      <c r="AA99" s="41">
        <f>IF(B99="","",IF(NETWORKDAYS(B99,C99)-1&gt;Settings!$B$5,"Logged late",IF(AND(L99="Escalated",M99=""),"Escalate to Compliance",IF(AND(L99="Escalated",N99=""),"Notify Sponsor Bank",IF(AND(L99="Escalated",N99&lt;&gt;"",NETWORKDAYS(B99,N99)-1&gt;Settings!$B$10),"Sponsor Bank notified late",IF(AND(K99&lt;&gt;"",K99&lt;&gt;"None",Q99=""),"Enter the legal deadline",IF(AND(S99&lt;&gt;"",OR(T99="",V99="")),"Record outcome and root cause",IF(AND(P99="",S99="",Settings!$B$4&gt;O99),"Acknowledgment overdue",""))))))))</f>
        <v/>
      </c>
    </row>
    <row r="100" ht="15.75" customHeight="1" s="31">
      <c r="A100" s="44" t="n"/>
      <c r="B100" s="45" t="n"/>
      <c r="C100" s="45" t="n"/>
      <c r="D100" s="44" t="n"/>
      <c r="E100" s="44" t="n"/>
      <c r="F100" s="44" t="n"/>
      <c r="G100" s="44" t="n"/>
      <c r="H100" s="44" t="n"/>
      <c r="I100" s="44" t="n"/>
      <c r="J100" s="44" t="n"/>
      <c r="K100" s="44" t="n"/>
      <c r="L100" s="41">
        <f>IF(B100="","",IF(OR(COUNTIF(Settings!$E$4:$E$9,D100)&gt;0,I100="Yes",J100="Yes",K100="Fair lending allegation"),"Escalated","Standard"))</f>
        <v/>
      </c>
      <c r="M100" s="45" t="n"/>
      <c r="N100" s="45" t="n"/>
      <c r="O100" s="42">
        <f>IF(B100="","",WORKDAY(B100,Settings!$B$7))</f>
        <v/>
      </c>
      <c r="P100" s="45" t="n"/>
      <c r="Q100" s="45" t="n"/>
      <c r="R100" s="42">
        <f>IF(B100="","",IF(Q100&lt;&gt;"",MIN(Q100,IF(L100="Escalated",B100+Settings!$B$9,WORKDAY(B100,Settings!$B$8))),IF(L100="Escalated",B100+Settings!$B$9,WORKDAY(B100,Settings!$B$8))))</f>
        <v/>
      </c>
      <c r="S100" s="45" t="n"/>
      <c r="T100" s="44" t="n"/>
      <c r="U100" s="46" t="n"/>
      <c r="V100" s="44" t="n"/>
      <c r="W100" s="44" t="n"/>
      <c r="X100" s="44" t="n"/>
      <c r="Y100" s="41">
        <f>IF(B100="","",IF(S100&lt;&gt;"",S100,Settings!$B$4)-B100)</f>
        <v/>
      </c>
      <c r="Z100" s="41">
        <f>IF(B100="","",IF(S100&lt;&gt;"",IF(S100&gt;R100,"Closed late","Closed on time"),IF(Settings!$B$4&gt;R100,"Open: overdue","Open")))</f>
        <v/>
      </c>
      <c r="AA100" s="41">
        <f>IF(B100="","",IF(NETWORKDAYS(B100,C100)-1&gt;Settings!$B$5,"Logged late",IF(AND(L100="Escalated",M100=""),"Escalate to Compliance",IF(AND(L100="Escalated",N100=""),"Notify Sponsor Bank",IF(AND(L100="Escalated",N100&lt;&gt;"",NETWORKDAYS(B100,N100)-1&gt;Settings!$B$10),"Sponsor Bank notified late",IF(AND(K100&lt;&gt;"",K100&lt;&gt;"None",Q100=""),"Enter the legal deadline",IF(AND(S100&lt;&gt;"",OR(T100="",V100="")),"Record outcome and root cause",IF(AND(P100="",S100="",Settings!$B$4&gt;O100),"Acknowledgment overdue",""))))))))</f>
        <v/>
      </c>
    </row>
    <row r="101" ht="15.75" customHeight="1" s="31">
      <c r="A101" s="44" t="n"/>
      <c r="B101" s="45" t="n"/>
      <c r="C101" s="45" t="n"/>
      <c r="D101" s="44" t="n"/>
      <c r="E101" s="44" t="n"/>
      <c r="F101" s="44" t="n"/>
      <c r="G101" s="44" t="n"/>
      <c r="H101" s="44" t="n"/>
      <c r="I101" s="44" t="n"/>
      <c r="J101" s="44" t="n"/>
      <c r="K101" s="44" t="n"/>
      <c r="L101" s="41">
        <f>IF(B101="","",IF(OR(COUNTIF(Settings!$E$4:$E$9,D101)&gt;0,I101="Yes",J101="Yes",K101="Fair lending allegation"),"Escalated","Standard"))</f>
        <v/>
      </c>
      <c r="M101" s="45" t="n"/>
      <c r="N101" s="45" t="n"/>
      <c r="O101" s="42">
        <f>IF(B101="","",WORKDAY(B101,Settings!$B$7))</f>
        <v/>
      </c>
      <c r="P101" s="45" t="n"/>
      <c r="Q101" s="45" t="n"/>
      <c r="R101" s="42">
        <f>IF(B101="","",IF(Q101&lt;&gt;"",MIN(Q101,IF(L101="Escalated",B101+Settings!$B$9,WORKDAY(B101,Settings!$B$8))),IF(L101="Escalated",B101+Settings!$B$9,WORKDAY(B101,Settings!$B$8))))</f>
        <v/>
      </c>
      <c r="S101" s="45" t="n"/>
      <c r="T101" s="44" t="n"/>
      <c r="U101" s="46" t="n"/>
      <c r="V101" s="44" t="n"/>
      <c r="W101" s="44" t="n"/>
      <c r="X101" s="44" t="n"/>
      <c r="Y101" s="41">
        <f>IF(B101="","",IF(S101&lt;&gt;"",S101,Settings!$B$4)-B101)</f>
        <v/>
      </c>
      <c r="Z101" s="41">
        <f>IF(B101="","",IF(S101&lt;&gt;"",IF(S101&gt;R101,"Closed late","Closed on time"),IF(Settings!$B$4&gt;R101,"Open: overdue","Open")))</f>
        <v/>
      </c>
      <c r="AA101" s="41">
        <f>IF(B101="","",IF(NETWORKDAYS(B101,C101)-1&gt;Settings!$B$5,"Logged late",IF(AND(L101="Escalated",M101=""),"Escalate to Compliance",IF(AND(L101="Escalated",N101=""),"Notify Sponsor Bank",IF(AND(L101="Escalated",N101&lt;&gt;"",NETWORKDAYS(B101,N101)-1&gt;Settings!$B$10),"Sponsor Bank notified late",IF(AND(K101&lt;&gt;"",K101&lt;&gt;"None",Q101=""),"Enter the legal deadline",IF(AND(S101&lt;&gt;"",OR(T101="",V101="")),"Record outcome and root cause",IF(AND(P101="",S101="",Settings!$B$4&gt;O101),"Acknowledgment overdue",""))))))))</f>
        <v/>
      </c>
    </row>
    <row r="102" ht="15.75" customHeight="1" s="31">
      <c r="A102" s="44" t="n"/>
      <c r="B102" s="45" t="n"/>
      <c r="C102" s="45" t="n"/>
      <c r="D102" s="44" t="n"/>
      <c r="E102" s="44" t="n"/>
      <c r="F102" s="44" t="n"/>
      <c r="G102" s="44" t="n"/>
      <c r="H102" s="44" t="n"/>
      <c r="I102" s="44" t="n"/>
      <c r="J102" s="44" t="n"/>
      <c r="K102" s="44" t="n"/>
      <c r="L102" s="41">
        <f>IF(B102="","",IF(OR(COUNTIF(Settings!$E$4:$E$9,D102)&gt;0,I102="Yes",J102="Yes",K102="Fair lending allegation"),"Escalated","Standard"))</f>
        <v/>
      </c>
      <c r="M102" s="45" t="n"/>
      <c r="N102" s="45" t="n"/>
      <c r="O102" s="42">
        <f>IF(B102="","",WORKDAY(B102,Settings!$B$7))</f>
        <v/>
      </c>
      <c r="P102" s="45" t="n"/>
      <c r="Q102" s="45" t="n"/>
      <c r="R102" s="42">
        <f>IF(B102="","",IF(Q102&lt;&gt;"",MIN(Q102,IF(L102="Escalated",B102+Settings!$B$9,WORKDAY(B102,Settings!$B$8))),IF(L102="Escalated",B102+Settings!$B$9,WORKDAY(B102,Settings!$B$8))))</f>
        <v/>
      </c>
      <c r="S102" s="45" t="n"/>
      <c r="T102" s="44" t="n"/>
      <c r="U102" s="46" t="n"/>
      <c r="V102" s="44" t="n"/>
      <c r="W102" s="44" t="n"/>
      <c r="X102" s="44" t="n"/>
      <c r="Y102" s="41">
        <f>IF(B102="","",IF(S102&lt;&gt;"",S102,Settings!$B$4)-B102)</f>
        <v/>
      </c>
      <c r="Z102" s="41">
        <f>IF(B102="","",IF(S102&lt;&gt;"",IF(S102&gt;R102,"Closed late","Closed on time"),IF(Settings!$B$4&gt;R102,"Open: overdue","Open")))</f>
        <v/>
      </c>
      <c r="AA102" s="41">
        <f>IF(B102="","",IF(NETWORKDAYS(B102,C102)-1&gt;Settings!$B$5,"Logged late",IF(AND(L102="Escalated",M102=""),"Escalate to Compliance",IF(AND(L102="Escalated",N102=""),"Notify Sponsor Bank",IF(AND(L102="Escalated",N102&lt;&gt;"",NETWORKDAYS(B102,N102)-1&gt;Settings!$B$10),"Sponsor Bank notified late",IF(AND(K102&lt;&gt;"",K102&lt;&gt;"None",Q102=""),"Enter the legal deadline",IF(AND(S102&lt;&gt;"",OR(T102="",V102="")),"Record outcome and root cause",IF(AND(P102="",S102="",Settings!$B$4&gt;O102),"Acknowledgment overdue",""))))))))</f>
        <v/>
      </c>
    </row>
    <row r="103" ht="15.75" customHeight="1" s="31">
      <c r="A103" s="44" t="n"/>
      <c r="B103" s="45" t="n"/>
      <c r="C103" s="45" t="n"/>
      <c r="D103" s="44" t="n"/>
      <c r="E103" s="44" t="n"/>
      <c r="F103" s="44" t="n"/>
      <c r="G103" s="44" t="n"/>
      <c r="H103" s="44" t="n"/>
      <c r="I103" s="44" t="n"/>
      <c r="J103" s="44" t="n"/>
      <c r="K103" s="44" t="n"/>
      <c r="L103" s="41">
        <f>IF(B103="","",IF(OR(COUNTIF(Settings!$E$4:$E$9,D103)&gt;0,I103="Yes",J103="Yes",K103="Fair lending allegation"),"Escalated","Standard"))</f>
        <v/>
      </c>
      <c r="M103" s="45" t="n"/>
      <c r="N103" s="45" t="n"/>
      <c r="O103" s="42">
        <f>IF(B103="","",WORKDAY(B103,Settings!$B$7))</f>
        <v/>
      </c>
      <c r="P103" s="45" t="n"/>
      <c r="Q103" s="45" t="n"/>
      <c r="R103" s="42">
        <f>IF(B103="","",IF(Q103&lt;&gt;"",MIN(Q103,IF(L103="Escalated",B103+Settings!$B$9,WORKDAY(B103,Settings!$B$8))),IF(L103="Escalated",B103+Settings!$B$9,WORKDAY(B103,Settings!$B$8))))</f>
        <v/>
      </c>
      <c r="S103" s="45" t="n"/>
      <c r="T103" s="44" t="n"/>
      <c r="U103" s="46" t="n"/>
      <c r="V103" s="44" t="n"/>
      <c r="W103" s="44" t="n"/>
      <c r="X103" s="44" t="n"/>
      <c r="Y103" s="41">
        <f>IF(B103="","",IF(S103&lt;&gt;"",S103,Settings!$B$4)-B103)</f>
        <v/>
      </c>
      <c r="Z103" s="41">
        <f>IF(B103="","",IF(S103&lt;&gt;"",IF(S103&gt;R103,"Closed late","Closed on time"),IF(Settings!$B$4&gt;R103,"Open: overdue","Open")))</f>
        <v/>
      </c>
      <c r="AA103" s="41">
        <f>IF(B103="","",IF(NETWORKDAYS(B103,C103)-1&gt;Settings!$B$5,"Logged late",IF(AND(L103="Escalated",M103=""),"Escalate to Compliance",IF(AND(L103="Escalated",N103=""),"Notify Sponsor Bank",IF(AND(L103="Escalated",N103&lt;&gt;"",NETWORKDAYS(B103,N103)-1&gt;Settings!$B$10),"Sponsor Bank notified late",IF(AND(K103&lt;&gt;"",K103&lt;&gt;"None",Q103=""),"Enter the legal deadline",IF(AND(S103&lt;&gt;"",OR(T103="",V103="")),"Record outcome and root cause",IF(AND(P103="",S103="",Settings!$B$4&gt;O103),"Acknowledgment overdue",""))))))))</f>
        <v/>
      </c>
    </row>
    <row r="104" ht="15.75" customHeight="1" s="31">
      <c r="A104" s="44" t="n"/>
      <c r="B104" s="45" t="n"/>
      <c r="C104" s="45" t="n"/>
      <c r="D104" s="44" t="n"/>
      <c r="E104" s="44" t="n"/>
      <c r="F104" s="44" t="n"/>
      <c r="G104" s="44" t="n"/>
      <c r="H104" s="44" t="n"/>
      <c r="I104" s="44" t="n"/>
      <c r="J104" s="44" t="n"/>
      <c r="K104" s="44" t="n"/>
      <c r="L104" s="41">
        <f>IF(B104="","",IF(OR(COUNTIF(Settings!$E$4:$E$9,D104)&gt;0,I104="Yes",J104="Yes",K104="Fair lending allegation"),"Escalated","Standard"))</f>
        <v/>
      </c>
      <c r="M104" s="45" t="n"/>
      <c r="N104" s="45" t="n"/>
      <c r="O104" s="42">
        <f>IF(B104="","",WORKDAY(B104,Settings!$B$7))</f>
        <v/>
      </c>
      <c r="P104" s="45" t="n"/>
      <c r="Q104" s="45" t="n"/>
      <c r="R104" s="42">
        <f>IF(B104="","",IF(Q104&lt;&gt;"",MIN(Q104,IF(L104="Escalated",B104+Settings!$B$9,WORKDAY(B104,Settings!$B$8))),IF(L104="Escalated",B104+Settings!$B$9,WORKDAY(B104,Settings!$B$8))))</f>
        <v/>
      </c>
      <c r="S104" s="45" t="n"/>
      <c r="T104" s="44" t="n"/>
      <c r="U104" s="46" t="n"/>
      <c r="V104" s="44" t="n"/>
      <c r="W104" s="44" t="n"/>
      <c r="X104" s="44" t="n"/>
      <c r="Y104" s="41">
        <f>IF(B104="","",IF(S104&lt;&gt;"",S104,Settings!$B$4)-B104)</f>
        <v/>
      </c>
      <c r="Z104" s="41">
        <f>IF(B104="","",IF(S104&lt;&gt;"",IF(S104&gt;R104,"Closed late","Closed on time"),IF(Settings!$B$4&gt;R104,"Open: overdue","Open")))</f>
        <v/>
      </c>
      <c r="AA104" s="41">
        <f>IF(B104="","",IF(NETWORKDAYS(B104,C104)-1&gt;Settings!$B$5,"Logged late",IF(AND(L104="Escalated",M104=""),"Escalate to Compliance",IF(AND(L104="Escalated",N104=""),"Notify Sponsor Bank",IF(AND(L104="Escalated",N104&lt;&gt;"",NETWORKDAYS(B104,N104)-1&gt;Settings!$B$10),"Sponsor Bank notified late",IF(AND(K104&lt;&gt;"",K104&lt;&gt;"None",Q104=""),"Enter the legal deadline",IF(AND(S104&lt;&gt;"",OR(T104="",V104="")),"Record outcome and root cause",IF(AND(P104="",S104="",Settings!$B$4&gt;O104),"Acknowledgment overdue",""))))))))</f>
        <v/>
      </c>
    </row>
    <row r="105" ht="15.75" customHeight="1" s="31">
      <c r="A105" s="44" t="n"/>
      <c r="B105" s="45" t="n"/>
      <c r="C105" s="45" t="n"/>
      <c r="D105" s="44" t="n"/>
      <c r="E105" s="44" t="n"/>
      <c r="F105" s="44" t="n"/>
      <c r="G105" s="44" t="n"/>
      <c r="H105" s="44" t="n"/>
      <c r="I105" s="44" t="n"/>
      <c r="J105" s="44" t="n"/>
      <c r="K105" s="44" t="n"/>
      <c r="L105" s="41">
        <f>IF(B105="","",IF(OR(COUNTIF(Settings!$E$4:$E$9,D105)&gt;0,I105="Yes",J105="Yes",K105="Fair lending allegation"),"Escalated","Standard"))</f>
        <v/>
      </c>
      <c r="M105" s="45" t="n"/>
      <c r="N105" s="45" t="n"/>
      <c r="O105" s="42">
        <f>IF(B105="","",WORKDAY(B105,Settings!$B$7))</f>
        <v/>
      </c>
      <c r="P105" s="45" t="n"/>
      <c r="Q105" s="45" t="n"/>
      <c r="R105" s="42">
        <f>IF(B105="","",IF(Q105&lt;&gt;"",MIN(Q105,IF(L105="Escalated",B105+Settings!$B$9,WORKDAY(B105,Settings!$B$8))),IF(L105="Escalated",B105+Settings!$B$9,WORKDAY(B105,Settings!$B$8))))</f>
        <v/>
      </c>
      <c r="S105" s="45" t="n"/>
      <c r="T105" s="44" t="n"/>
      <c r="U105" s="46" t="n"/>
      <c r="V105" s="44" t="n"/>
      <c r="W105" s="44" t="n"/>
      <c r="X105" s="44" t="n"/>
      <c r="Y105" s="41">
        <f>IF(B105="","",IF(S105&lt;&gt;"",S105,Settings!$B$4)-B105)</f>
        <v/>
      </c>
      <c r="Z105" s="41">
        <f>IF(B105="","",IF(S105&lt;&gt;"",IF(S105&gt;R105,"Closed late","Closed on time"),IF(Settings!$B$4&gt;R105,"Open: overdue","Open")))</f>
        <v/>
      </c>
      <c r="AA105" s="41">
        <f>IF(B105="","",IF(NETWORKDAYS(B105,C105)-1&gt;Settings!$B$5,"Logged late",IF(AND(L105="Escalated",M105=""),"Escalate to Compliance",IF(AND(L105="Escalated",N105=""),"Notify Sponsor Bank",IF(AND(L105="Escalated",N105&lt;&gt;"",NETWORKDAYS(B105,N105)-1&gt;Settings!$B$10),"Sponsor Bank notified late",IF(AND(K105&lt;&gt;"",K105&lt;&gt;"None",Q105=""),"Enter the legal deadline",IF(AND(S105&lt;&gt;"",OR(T105="",V105="")),"Record outcome and root cause",IF(AND(P105="",S105="",Settings!$B$4&gt;O105),"Acknowledgment overdue",""))))))))</f>
        <v/>
      </c>
    </row>
    <row r="106" ht="15.75" customHeight="1" s="31">
      <c r="A106" s="44" t="n"/>
      <c r="B106" s="45" t="n"/>
      <c r="C106" s="45" t="n"/>
      <c r="D106" s="44" t="n"/>
      <c r="E106" s="44" t="n"/>
      <c r="F106" s="44" t="n"/>
      <c r="G106" s="44" t="n"/>
      <c r="H106" s="44" t="n"/>
      <c r="I106" s="44" t="n"/>
      <c r="J106" s="44" t="n"/>
      <c r="K106" s="44" t="n"/>
      <c r="L106" s="41">
        <f>IF(B106="","",IF(OR(COUNTIF(Settings!$E$4:$E$9,D106)&gt;0,I106="Yes",J106="Yes",K106="Fair lending allegation"),"Escalated","Standard"))</f>
        <v/>
      </c>
      <c r="M106" s="45" t="n"/>
      <c r="N106" s="45" t="n"/>
      <c r="O106" s="42">
        <f>IF(B106="","",WORKDAY(B106,Settings!$B$7))</f>
        <v/>
      </c>
      <c r="P106" s="45" t="n"/>
      <c r="Q106" s="45" t="n"/>
      <c r="R106" s="42">
        <f>IF(B106="","",IF(Q106&lt;&gt;"",MIN(Q106,IF(L106="Escalated",B106+Settings!$B$9,WORKDAY(B106,Settings!$B$8))),IF(L106="Escalated",B106+Settings!$B$9,WORKDAY(B106,Settings!$B$8))))</f>
        <v/>
      </c>
      <c r="S106" s="45" t="n"/>
      <c r="T106" s="44" t="n"/>
      <c r="U106" s="46" t="n"/>
      <c r="V106" s="44" t="n"/>
      <c r="W106" s="44" t="n"/>
      <c r="X106" s="44" t="n"/>
      <c r="Y106" s="41">
        <f>IF(B106="","",IF(S106&lt;&gt;"",S106,Settings!$B$4)-B106)</f>
        <v/>
      </c>
      <c r="Z106" s="41">
        <f>IF(B106="","",IF(S106&lt;&gt;"",IF(S106&gt;R106,"Closed late","Closed on time"),IF(Settings!$B$4&gt;R106,"Open: overdue","Open")))</f>
        <v/>
      </c>
      <c r="AA106" s="41">
        <f>IF(B106="","",IF(NETWORKDAYS(B106,C106)-1&gt;Settings!$B$5,"Logged late",IF(AND(L106="Escalated",M106=""),"Escalate to Compliance",IF(AND(L106="Escalated",N106=""),"Notify Sponsor Bank",IF(AND(L106="Escalated",N106&lt;&gt;"",NETWORKDAYS(B106,N106)-1&gt;Settings!$B$10),"Sponsor Bank notified late",IF(AND(K106&lt;&gt;"",K106&lt;&gt;"None",Q106=""),"Enter the legal deadline",IF(AND(S106&lt;&gt;"",OR(T106="",V106="")),"Record outcome and root cause",IF(AND(P106="",S106="",Settings!$B$4&gt;O106),"Acknowledgment overdue",""))))))))</f>
        <v/>
      </c>
    </row>
    <row r="107" ht="15.75" customHeight="1" s="31">
      <c r="A107" s="44" t="n"/>
      <c r="B107" s="45" t="n"/>
      <c r="C107" s="45" t="n"/>
      <c r="D107" s="44" t="n"/>
      <c r="E107" s="44" t="n"/>
      <c r="F107" s="44" t="n"/>
      <c r="G107" s="44" t="n"/>
      <c r="H107" s="44" t="n"/>
      <c r="I107" s="44" t="n"/>
      <c r="J107" s="44" t="n"/>
      <c r="K107" s="44" t="n"/>
      <c r="L107" s="41">
        <f>IF(B107="","",IF(OR(COUNTIF(Settings!$E$4:$E$9,D107)&gt;0,I107="Yes",J107="Yes",K107="Fair lending allegation"),"Escalated","Standard"))</f>
        <v/>
      </c>
      <c r="M107" s="45" t="n"/>
      <c r="N107" s="45" t="n"/>
      <c r="O107" s="42">
        <f>IF(B107="","",WORKDAY(B107,Settings!$B$7))</f>
        <v/>
      </c>
      <c r="P107" s="45" t="n"/>
      <c r="Q107" s="45" t="n"/>
      <c r="R107" s="42">
        <f>IF(B107="","",IF(Q107&lt;&gt;"",MIN(Q107,IF(L107="Escalated",B107+Settings!$B$9,WORKDAY(B107,Settings!$B$8))),IF(L107="Escalated",B107+Settings!$B$9,WORKDAY(B107,Settings!$B$8))))</f>
        <v/>
      </c>
      <c r="S107" s="45" t="n"/>
      <c r="T107" s="44" t="n"/>
      <c r="U107" s="46" t="n"/>
      <c r="V107" s="44" t="n"/>
      <c r="W107" s="44" t="n"/>
      <c r="X107" s="44" t="n"/>
      <c r="Y107" s="41">
        <f>IF(B107="","",IF(S107&lt;&gt;"",S107,Settings!$B$4)-B107)</f>
        <v/>
      </c>
      <c r="Z107" s="41">
        <f>IF(B107="","",IF(S107&lt;&gt;"",IF(S107&gt;R107,"Closed late","Closed on time"),IF(Settings!$B$4&gt;R107,"Open: overdue","Open")))</f>
        <v/>
      </c>
      <c r="AA107" s="41">
        <f>IF(B107="","",IF(NETWORKDAYS(B107,C107)-1&gt;Settings!$B$5,"Logged late",IF(AND(L107="Escalated",M107=""),"Escalate to Compliance",IF(AND(L107="Escalated",N107=""),"Notify Sponsor Bank",IF(AND(L107="Escalated",N107&lt;&gt;"",NETWORKDAYS(B107,N107)-1&gt;Settings!$B$10),"Sponsor Bank notified late",IF(AND(K107&lt;&gt;"",K107&lt;&gt;"None",Q107=""),"Enter the legal deadline",IF(AND(S107&lt;&gt;"",OR(T107="",V107="")),"Record outcome and root cause",IF(AND(P107="",S107="",Settings!$B$4&gt;O107),"Acknowledgment overdue",""))))))))</f>
        <v/>
      </c>
    </row>
    <row r="108" ht="15.75" customHeight="1" s="31">
      <c r="A108" s="44" t="n"/>
      <c r="B108" s="45" t="n"/>
      <c r="C108" s="45" t="n"/>
      <c r="D108" s="44" t="n"/>
      <c r="E108" s="44" t="n"/>
      <c r="F108" s="44" t="n"/>
      <c r="G108" s="44" t="n"/>
      <c r="H108" s="44" t="n"/>
      <c r="I108" s="44" t="n"/>
      <c r="J108" s="44" t="n"/>
      <c r="K108" s="44" t="n"/>
      <c r="L108" s="41">
        <f>IF(B108="","",IF(OR(COUNTIF(Settings!$E$4:$E$9,D108)&gt;0,I108="Yes",J108="Yes",K108="Fair lending allegation"),"Escalated","Standard"))</f>
        <v/>
      </c>
      <c r="M108" s="45" t="n"/>
      <c r="N108" s="45" t="n"/>
      <c r="O108" s="42">
        <f>IF(B108="","",WORKDAY(B108,Settings!$B$7))</f>
        <v/>
      </c>
      <c r="P108" s="45" t="n"/>
      <c r="Q108" s="45" t="n"/>
      <c r="R108" s="42">
        <f>IF(B108="","",IF(Q108&lt;&gt;"",MIN(Q108,IF(L108="Escalated",B108+Settings!$B$9,WORKDAY(B108,Settings!$B$8))),IF(L108="Escalated",B108+Settings!$B$9,WORKDAY(B108,Settings!$B$8))))</f>
        <v/>
      </c>
      <c r="S108" s="45" t="n"/>
      <c r="T108" s="44" t="n"/>
      <c r="U108" s="46" t="n"/>
      <c r="V108" s="44" t="n"/>
      <c r="W108" s="44" t="n"/>
      <c r="X108" s="44" t="n"/>
      <c r="Y108" s="41">
        <f>IF(B108="","",IF(S108&lt;&gt;"",S108,Settings!$B$4)-B108)</f>
        <v/>
      </c>
      <c r="Z108" s="41">
        <f>IF(B108="","",IF(S108&lt;&gt;"",IF(S108&gt;R108,"Closed late","Closed on time"),IF(Settings!$B$4&gt;R108,"Open: overdue","Open")))</f>
        <v/>
      </c>
      <c r="AA108" s="41">
        <f>IF(B108="","",IF(NETWORKDAYS(B108,C108)-1&gt;Settings!$B$5,"Logged late",IF(AND(L108="Escalated",M108=""),"Escalate to Compliance",IF(AND(L108="Escalated",N108=""),"Notify Sponsor Bank",IF(AND(L108="Escalated",N108&lt;&gt;"",NETWORKDAYS(B108,N108)-1&gt;Settings!$B$10),"Sponsor Bank notified late",IF(AND(K108&lt;&gt;"",K108&lt;&gt;"None",Q108=""),"Enter the legal deadline",IF(AND(S108&lt;&gt;"",OR(T108="",V108="")),"Record outcome and root cause",IF(AND(P108="",S108="",Settings!$B$4&gt;O108),"Acknowledgment overdue",""))))))))</f>
        <v/>
      </c>
    </row>
    <row r="109" ht="15.75" customHeight="1" s="31">
      <c r="A109" s="44" t="n"/>
      <c r="B109" s="45" t="n"/>
      <c r="C109" s="45" t="n"/>
      <c r="D109" s="44" t="n"/>
      <c r="E109" s="44" t="n"/>
      <c r="F109" s="44" t="n"/>
      <c r="G109" s="44" t="n"/>
      <c r="H109" s="44" t="n"/>
      <c r="I109" s="44" t="n"/>
      <c r="J109" s="44" t="n"/>
      <c r="K109" s="44" t="n"/>
      <c r="L109" s="41">
        <f>IF(B109="","",IF(OR(COUNTIF(Settings!$E$4:$E$9,D109)&gt;0,I109="Yes",J109="Yes",K109="Fair lending allegation"),"Escalated","Standard"))</f>
        <v/>
      </c>
      <c r="M109" s="45" t="n"/>
      <c r="N109" s="45" t="n"/>
      <c r="O109" s="42">
        <f>IF(B109="","",WORKDAY(B109,Settings!$B$7))</f>
        <v/>
      </c>
      <c r="P109" s="45" t="n"/>
      <c r="Q109" s="45" t="n"/>
      <c r="R109" s="42">
        <f>IF(B109="","",IF(Q109&lt;&gt;"",MIN(Q109,IF(L109="Escalated",B109+Settings!$B$9,WORKDAY(B109,Settings!$B$8))),IF(L109="Escalated",B109+Settings!$B$9,WORKDAY(B109,Settings!$B$8))))</f>
        <v/>
      </c>
      <c r="S109" s="45" t="n"/>
      <c r="T109" s="44" t="n"/>
      <c r="U109" s="46" t="n"/>
      <c r="V109" s="44" t="n"/>
      <c r="W109" s="44" t="n"/>
      <c r="X109" s="44" t="n"/>
      <c r="Y109" s="41">
        <f>IF(B109="","",IF(S109&lt;&gt;"",S109,Settings!$B$4)-B109)</f>
        <v/>
      </c>
      <c r="Z109" s="41">
        <f>IF(B109="","",IF(S109&lt;&gt;"",IF(S109&gt;R109,"Closed late","Closed on time"),IF(Settings!$B$4&gt;R109,"Open: overdue","Open")))</f>
        <v/>
      </c>
      <c r="AA109" s="41">
        <f>IF(B109="","",IF(NETWORKDAYS(B109,C109)-1&gt;Settings!$B$5,"Logged late",IF(AND(L109="Escalated",M109=""),"Escalate to Compliance",IF(AND(L109="Escalated",N109=""),"Notify Sponsor Bank",IF(AND(L109="Escalated",N109&lt;&gt;"",NETWORKDAYS(B109,N109)-1&gt;Settings!$B$10),"Sponsor Bank notified late",IF(AND(K109&lt;&gt;"",K109&lt;&gt;"None",Q109=""),"Enter the legal deadline",IF(AND(S109&lt;&gt;"",OR(T109="",V109="")),"Record outcome and root cause",IF(AND(P109="",S109="",Settings!$B$4&gt;O109),"Acknowledgment overdue",""))))))))</f>
        <v/>
      </c>
    </row>
    <row r="110" ht="15.75" customHeight="1" s="31">
      <c r="A110" s="44" t="n"/>
      <c r="B110" s="45" t="n"/>
      <c r="C110" s="45" t="n"/>
      <c r="D110" s="44" t="n"/>
      <c r="E110" s="44" t="n"/>
      <c r="F110" s="44" t="n"/>
      <c r="G110" s="44" t="n"/>
      <c r="H110" s="44" t="n"/>
      <c r="I110" s="44" t="n"/>
      <c r="J110" s="44" t="n"/>
      <c r="K110" s="44" t="n"/>
      <c r="L110" s="41">
        <f>IF(B110="","",IF(OR(COUNTIF(Settings!$E$4:$E$9,D110)&gt;0,I110="Yes",J110="Yes",K110="Fair lending allegation"),"Escalated","Standard"))</f>
        <v/>
      </c>
      <c r="M110" s="45" t="n"/>
      <c r="N110" s="45" t="n"/>
      <c r="O110" s="42">
        <f>IF(B110="","",WORKDAY(B110,Settings!$B$7))</f>
        <v/>
      </c>
      <c r="P110" s="45" t="n"/>
      <c r="Q110" s="45" t="n"/>
      <c r="R110" s="42">
        <f>IF(B110="","",IF(Q110&lt;&gt;"",MIN(Q110,IF(L110="Escalated",B110+Settings!$B$9,WORKDAY(B110,Settings!$B$8))),IF(L110="Escalated",B110+Settings!$B$9,WORKDAY(B110,Settings!$B$8))))</f>
        <v/>
      </c>
      <c r="S110" s="45" t="n"/>
      <c r="T110" s="44" t="n"/>
      <c r="U110" s="46" t="n"/>
      <c r="V110" s="44" t="n"/>
      <c r="W110" s="44" t="n"/>
      <c r="X110" s="44" t="n"/>
      <c r="Y110" s="41">
        <f>IF(B110="","",IF(S110&lt;&gt;"",S110,Settings!$B$4)-B110)</f>
        <v/>
      </c>
      <c r="Z110" s="41">
        <f>IF(B110="","",IF(S110&lt;&gt;"",IF(S110&gt;R110,"Closed late","Closed on time"),IF(Settings!$B$4&gt;R110,"Open: overdue","Open")))</f>
        <v/>
      </c>
      <c r="AA110" s="41">
        <f>IF(B110="","",IF(NETWORKDAYS(B110,C110)-1&gt;Settings!$B$5,"Logged late",IF(AND(L110="Escalated",M110=""),"Escalate to Compliance",IF(AND(L110="Escalated",N110=""),"Notify Sponsor Bank",IF(AND(L110="Escalated",N110&lt;&gt;"",NETWORKDAYS(B110,N110)-1&gt;Settings!$B$10),"Sponsor Bank notified late",IF(AND(K110&lt;&gt;"",K110&lt;&gt;"None",Q110=""),"Enter the legal deadline",IF(AND(S110&lt;&gt;"",OR(T110="",V110="")),"Record outcome and root cause",IF(AND(P110="",S110="",Settings!$B$4&gt;O110),"Acknowledgment overdue",""))))))))</f>
        <v/>
      </c>
    </row>
    <row r="111" ht="15.75" customHeight="1" s="31">
      <c r="A111" s="44" t="n"/>
      <c r="B111" s="45" t="n"/>
      <c r="C111" s="45" t="n"/>
      <c r="D111" s="44" t="n"/>
      <c r="E111" s="44" t="n"/>
      <c r="F111" s="44" t="n"/>
      <c r="G111" s="44" t="n"/>
      <c r="H111" s="44" t="n"/>
      <c r="I111" s="44" t="n"/>
      <c r="J111" s="44" t="n"/>
      <c r="K111" s="44" t="n"/>
      <c r="L111" s="41">
        <f>IF(B111="","",IF(OR(COUNTIF(Settings!$E$4:$E$9,D111)&gt;0,I111="Yes",J111="Yes",K111="Fair lending allegation"),"Escalated","Standard"))</f>
        <v/>
      </c>
      <c r="M111" s="45" t="n"/>
      <c r="N111" s="45" t="n"/>
      <c r="O111" s="42">
        <f>IF(B111="","",WORKDAY(B111,Settings!$B$7))</f>
        <v/>
      </c>
      <c r="P111" s="45" t="n"/>
      <c r="Q111" s="45" t="n"/>
      <c r="R111" s="42">
        <f>IF(B111="","",IF(Q111&lt;&gt;"",MIN(Q111,IF(L111="Escalated",B111+Settings!$B$9,WORKDAY(B111,Settings!$B$8))),IF(L111="Escalated",B111+Settings!$B$9,WORKDAY(B111,Settings!$B$8))))</f>
        <v/>
      </c>
      <c r="S111" s="45" t="n"/>
      <c r="T111" s="44" t="n"/>
      <c r="U111" s="46" t="n"/>
      <c r="V111" s="44" t="n"/>
      <c r="W111" s="44" t="n"/>
      <c r="X111" s="44" t="n"/>
      <c r="Y111" s="41">
        <f>IF(B111="","",IF(S111&lt;&gt;"",S111,Settings!$B$4)-B111)</f>
        <v/>
      </c>
      <c r="Z111" s="41">
        <f>IF(B111="","",IF(S111&lt;&gt;"",IF(S111&gt;R111,"Closed late","Closed on time"),IF(Settings!$B$4&gt;R111,"Open: overdue","Open")))</f>
        <v/>
      </c>
      <c r="AA111" s="41">
        <f>IF(B111="","",IF(NETWORKDAYS(B111,C111)-1&gt;Settings!$B$5,"Logged late",IF(AND(L111="Escalated",M111=""),"Escalate to Compliance",IF(AND(L111="Escalated",N111=""),"Notify Sponsor Bank",IF(AND(L111="Escalated",N111&lt;&gt;"",NETWORKDAYS(B111,N111)-1&gt;Settings!$B$10),"Sponsor Bank notified late",IF(AND(K111&lt;&gt;"",K111&lt;&gt;"None",Q111=""),"Enter the legal deadline",IF(AND(S111&lt;&gt;"",OR(T111="",V111="")),"Record outcome and root cause",IF(AND(P111="",S111="",Settings!$B$4&gt;O111),"Acknowledgment overdue",""))))))))</f>
        <v/>
      </c>
    </row>
    <row r="112" ht="15.75" customHeight="1" s="31">
      <c r="A112" s="44" t="n"/>
      <c r="B112" s="45" t="n"/>
      <c r="C112" s="45" t="n"/>
      <c r="D112" s="44" t="n"/>
      <c r="E112" s="44" t="n"/>
      <c r="F112" s="44" t="n"/>
      <c r="G112" s="44" t="n"/>
      <c r="H112" s="44" t="n"/>
      <c r="I112" s="44" t="n"/>
      <c r="J112" s="44" t="n"/>
      <c r="K112" s="44" t="n"/>
      <c r="L112" s="41">
        <f>IF(B112="","",IF(OR(COUNTIF(Settings!$E$4:$E$9,D112)&gt;0,I112="Yes",J112="Yes",K112="Fair lending allegation"),"Escalated","Standard"))</f>
        <v/>
      </c>
      <c r="M112" s="45" t="n"/>
      <c r="N112" s="45" t="n"/>
      <c r="O112" s="42">
        <f>IF(B112="","",WORKDAY(B112,Settings!$B$7))</f>
        <v/>
      </c>
      <c r="P112" s="45" t="n"/>
      <c r="Q112" s="45" t="n"/>
      <c r="R112" s="42">
        <f>IF(B112="","",IF(Q112&lt;&gt;"",MIN(Q112,IF(L112="Escalated",B112+Settings!$B$9,WORKDAY(B112,Settings!$B$8))),IF(L112="Escalated",B112+Settings!$B$9,WORKDAY(B112,Settings!$B$8))))</f>
        <v/>
      </c>
      <c r="S112" s="45" t="n"/>
      <c r="T112" s="44" t="n"/>
      <c r="U112" s="46" t="n"/>
      <c r="V112" s="44" t="n"/>
      <c r="W112" s="44" t="n"/>
      <c r="X112" s="44" t="n"/>
      <c r="Y112" s="41">
        <f>IF(B112="","",IF(S112&lt;&gt;"",S112,Settings!$B$4)-B112)</f>
        <v/>
      </c>
      <c r="Z112" s="41">
        <f>IF(B112="","",IF(S112&lt;&gt;"",IF(S112&gt;R112,"Closed late","Closed on time"),IF(Settings!$B$4&gt;R112,"Open: overdue","Open")))</f>
        <v/>
      </c>
      <c r="AA112" s="41">
        <f>IF(B112="","",IF(NETWORKDAYS(B112,C112)-1&gt;Settings!$B$5,"Logged late",IF(AND(L112="Escalated",M112=""),"Escalate to Compliance",IF(AND(L112="Escalated",N112=""),"Notify Sponsor Bank",IF(AND(L112="Escalated",N112&lt;&gt;"",NETWORKDAYS(B112,N112)-1&gt;Settings!$B$10),"Sponsor Bank notified late",IF(AND(K112&lt;&gt;"",K112&lt;&gt;"None",Q112=""),"Enter the legal deadline",IF(AND(S112&lt;&gt;"",OR(T112="",V112="")),"Record outcome and root cause",IF(AND(P112="",S112="",Settings!$B$4&gt;O112),"Acknowledgment overdue",""))))))))</f>
        <v/>
      </c>
    </row>
    <row r="113" ht="15.75" customHeight="1" s="31">
      <c r="A113" s="44" t="n"/>
      <c r="B113" s="45" t="n"/>
      <c r="C113" s="45" t="n"/>
      <c r="D113" s="44" t="n"/>
      <c r="E113" s="44" t="n"/>
      <c r="F113" s="44" t="n"/>
      <c r="G113" s="44" t="n"/>
      <c r="H113" s="44" t="n"/>
      <c r="I113" s="44" t="n"/>
      <c r="J113" s="44" t="n"/>
      <c r="K113" s="44" t="n"/>
      <c r="L113" s="41">
        <f>IF(B113="","",IF(OR(COUNTIF(Settings!$E$4:$E$9,D113)&gt;0,I113="Yes",J113="Yes",K113="Fair lending allegation"),"Escalated","Standard"))</f>
        <v/>
      </c>
      <c r="M113" s="45" t="n"/>
      <c r="N113" s="45" t="n"/>
      <c r="O113" s="42">
        <f>IF(B113="","",WORKDAY(B113,Settings!$B$7))</f>
        <v/>
      </c>
      <c r="P113" s="45" t="n"/>
      <c r="Q113" s="45" t="n"/>
      <c r="R113" s="42">
        <f>IF(B113="","",IF(Q113&lt;&gt;"",MIN(Q113,IF(L113="Escalated",B113+Settings!$B$9,WORKDAY(B113,Settings!$B$8))),IF(L113="Escalated",B113+Settings!$B$9,WORKDAY(B113,Settings!$B$8))))</f>
        <v/>
      </c>
      <c r="S113" s="45" t="n"/>
      <c r="T113" s="44" t="n"/>
      <c r="U113" s="46" t="n"/>
      <c r="V113" s="44" t="n"/>
      <c r="W113" s="44" t="n"/>
      <c r="X113" s="44" t="n"/>
      <c r="Y113" s="41">
        <f>IF(B113="","",IF(S113&lt;&gt;"",S113,Settings!$B$4)-B113)</f>
        <v/>
      </c>
      <c r="Z113" s="41">
        <f>IF(B113="","",IF(S113&lt;&gt;"",IF(S113&gt;R113,"Closed late","Closed on time"),IF(Settings!$B$4&gt;R113,"Open: overdue","Open")))</f>
        <v/>
      </c>
      <c r="AA113" s="41">
        <f>IF(B113="","",IF(NETWORKDAYS(B113,C113)-1&gt;Settings!$B$5,"Logged late",IF(AND(L113="Escalated",M113=""),"Escalate to Compliance",IF(AND(L113="Escalated",N113=""),"Notify Sponsor Bank",IF(AND(L113="Escalated",N113&lt;&gt;"",NETWORKDAYS(B113,N113)-1&gt;Settings!$B$10),"Sponsor Bank notified late",IF(AND(K113&lt;&gt;"",K113&lt;&gt;"None",Q113=""),"Enter the legal deadline",IF(AND(S113&lt;&gt;"",OR(T113="",V113="")),"Record outcome and root cause",IF(AND(P113="",S113="",Settings!$B$4&gt;O113),"Acknowledgment overdue",""))))))))</f>
        <v/>
      </c>
    </row>
    <row r="114" ht="15.75" customHeight="1" s="31">
      <c r="A114" s="44" t="n"/>
      <c r="B114" s="45" t="n"/>
      <c r="C114" s="45" t="n"/>
      <c r="D114" s="44" t="n"/>
      <c r="E114" s="44" t="n"/>
      <c r="F114" s="44" t="n"/>
      <c r="G114" s="44" t="n"/>
      <c r="H114" s="44" t="n"/>
      <c r="I114" s="44" t="n"/>
      <c r="J114" s="44" t="n"/>
      <c r="K114" s="44" t="n"/>
      <c r="L114" s="41">
        <f>IF(B114="","",IF(OR(COUNTIF(Settings!$E$4:$E$9,D114)&gt;0,I114="Yes",J114="Yes",K114="Fair lending allegation"),"Escalated","Standard"))</f>
        <v/>
      </c>
      <c r="M114" s="45" t="n"/>
      <c r="N114" s="45" t="n"/>
      <c r="O114" s="42">
        <f>IF(B114="","",WORKDAY(B114,Settings!$B$7))</f>
        <v/>
      </c>
      <c r="P114" s="45" t="n"/>
      <c r="Q114" s="45" t="n"/>
      <c r="R114" s="42">
        <f>IF(B114="","",IF(Q114&lt;&gt;"",MIN(Q114,IF(L114="Escalated",B114+Settings!$B$9,WORKDAY(B114,Settings!$B$8))),IF(L114="Escalated",B114+Settings!$B$9,WORKDAY(B114,Settings!$B$8))))</f>
        <v/>
      </c>
      <c r="S114" s="45" t="n"/>
      <c r="T114" s="44" t="n"/>
      <c r="U114" s="46" t="n"/>
      <c r="V114" s="44" t="n"/>
      <c r="W114" s="44" t="n"/>
      <c r="X114" s="44" t="n"/>
      <c r="Y114" s="41">
        <f>IF(B114="","",IF(S114&lt;&gt;"",S114,Settings!$B$4)-B114)</f>
        <v/>
      </c>
      <c r="Z114" s="41">
        <f>IF(B114="","",IF(S114&lt;&gt;"",IF(S114&gt;R114,"Closed late","Closed on time"),IF(Settings!$B$4&gt;R114,"Open: overdue","Open")))</f>
        <v/>
      </c>
      <c r="AA114" s="41">
        <f>IF(B114="","",IF(NETWORKDAYS(B114,C114)-1&gt;Settings!$B$5,"Logged late",IF(AND(L114="Escalated",M114=""),"Escalate to Compliance",IF(AND(L114="Escalated",N114=""),"Notify Sponsor Bank",IF(AND(L114="Escalated",N114&lt;&gt;"",NETWORKDAYS(B114,N114)-1&gt;Settings!$B$10),"Sponsor Bank notified late",IF(AND(K114&lt;&gt;"",K114&lt;&gt;"None",Q114=""),"Enter the legal deadline",IF(AND(S114&lt;&gt;"",OR(T114="",V114="")),"Record outcome and root cause",IF(AND(P114="",S114="",Settings!$B$4&gt;O114),"Acknowledgment overdue",""))))))))</f>
        <v/>
      </c>
    </row>
    <row r="115" ht="15.75" customHeight="1" s="31">
      <c r="A115" s="44" t="n"/>
      <c r="B115" s="45" t="n"/>
      <c r="C115" s="45" t="n"/>
      <c r="D115" s="44" t="n"/>
      <c r="E115" s="44" t="n"/>
      <c r="F115" s="44" t="n"/>
      <c r="G115" s="44" t="n"/>
      <c r="H115" s="44" t="n"/>
      <c r="I115" s="44" t="n"/>
      <c r="J115" s="44" t="n"/>
      <c r="K115" s="44" t="n"/>
      <c r="L115" s="41">
        <f>IF(B115="","",IF(OR(COUNTIF(Settings!$E$4:$E$9,D115)&gt;0,I115="Yes",J115="Yes",K115="Fair lending allegation"),"Escalated","Standard"))</f>
        <v/>
      </c>
      <c r="M115" s="45" t="n"/>
      <c r="N115" s="45" t="n"/>
      <c r="O115" s="42">
        <f>IF(B115="","",WORKDAY(B115,Settings!$B$7))</f>
        <v/>
      </c>
      <c r="P115" s="45" t="n"/>
      <c r="Q115" s="45" t="n"/>
      <c r="R115" s="42">
        <f>IF(B115="","",IF(Q115&lt;&gt;"",MIN(Q115,IF(L115="Escalated",B115+Settings!$B$9,WORKDAY(B115,Settings!$B$8))),IF(L115="Escalated",B115+Settings!$B$9,WORKDAY(B115,Settings!$B$8))))</f>
        <v/>
      </c>
      <c r="S115" s="45" t="n"/>
      <c r="T115" s="44" t="n"/>
      <c r="U115" s="46" t="n"/>
      <c r="V115" s="44" t="n"/>
      <c r="W115" s="44" t="n"/>
      <c r="X115" s="44" t="n"/>
      <c r="Y115" s="41">
        <f>IF(B115="","",IF(S115&lt;&gt;"",S115,Settings!$B$4)-B115)</f>
        <v/>
      </c>
      <c r="Z115" s="41">
        <f>IF(B115="","",IF(S115&lt;&gt;"",IF(S115&gt;R115,"Closed late","Closed on time"),IF(Settings!$B$4&gt;R115,"Open: overdue","Open")))</f>
        <v/>
      </c>
      <c r="AA115" s="41">
        <f>IF(B115="","",IF(NETWORKDAYS(B115,C115)-1&gt;Settings!$B$5,"Logged late",IF(AND(L115="Escalated",M115=""),"Escalate to Compliance",IF(AND(L115="Escalated",N115=""),"Notify Sponsor Bank",IF(AND(L115="Escalated",N115&lt;&gt;"",NETWORKDAYS(B115,N115)-1&gt;Settings!$B$10),"Sponsor Bank notified late",IF(AND(K115&lt;&gt;"",K115&lt;&gt;"None",Q115=""),"Enter the legal deadline",IF(AND(S115&lt;&gt;"",OR(T115="",V115="")),"Record outcome and root cause",IF(AND(P115="",S115="",Settings!$B$4&gt;O115),"Acknowledgment overdue",""))))))))</f>
        <v/>
      </c>
    </row>
    <row r="116" ht="15.75" customHeight="1" s="31">
      <c r="A116" s="44" t="n"/>
      <c r="B116" s="45" t="n"/>
      <c r="C116" s="45" t="n"/>
      <c r="D116" s="44" t="n"/>
      <c r="E116" s="44" t="n"/>
      <c r="F116" s="44" t="n"/>
      <c r="G116" s="44" t="n"/>
      <c r="H116" s="44" t="n"/>
      <c r="I116" s="44" t="n"/>
      <c r="J116" s="44" t="n"/>
      <c r="K116" s="44" t="n"/>
      <c r="L116" s="41">
        <f>IF(B116="","",IF(OR(COUNTIF(Settings!$E$4:$E$9,D116)&gt;0,I116="Yes",J116="Yes",K116="Fair lending allegation"),"Escalated","Standard"))</f>
        <v/>
      </c>
      <c r="M116" s="45" t="n"/>
      <c r="N116" s="45" t="n"/>
      <c r="O116" s="42">
        <f>IF(B116="","",WORKDAY(B116,Settings!$B$7))</f>
        <v/>
      </c>
      <c r="P116" s="45" t="n"/>
      <c r="Q116" s="45" t="n"/>
      <c r="R116" s="42">
        <f>IF(B116="","",IF(Q116&lt;&gt;"",MIN(Q116,IF(L116="Escalated",B116+Settings!$B$9,WORKDAY(B116,Settings!$B$8))),IF(L116="Escalated",B116+Settings!$B$9,WORKDAY(B116,Settings!$B$8))))</f>
        <v/>
      </c>
      <c r="S116" s="45" t="n"/>
      <c r="T116" s="44" t="n"/>
      <c r="U116" s="46" t="n"/>
      <c r="V116" s="44" t="n"/>
      <c r="W116" s="44" t="n"/>
      <c r="X116" s="44" t="n"/>
      <c r="Y116" s="41">
        <f>IF(B116="","",IF(S116&lt;&gt;"",S116,Settings!$B$4)-B116)</f>
        <v/>
      </c>
      <c r="Z116" s="41">
        <f>IF(B116="","",IF(S116&lt;&gt;"",IF(S116&gt;R116,"Closed late","Closed on time"),IF(Settings!$B$4&gt;R116,"Open: overdue","Open")))</f>
        <v/>
      </c>
      <c r="AA116" s="41">
        <f>IF(B116="","",IF(NETWORKDAYS(B116,C116)-1&gt;Settings!$B$5,"Logged late",IF(AND(L116="Escalated",M116=""),"Escalate to Compliance",IF(AND(L116="Escalated",N116=""),"Notify Sponsor Bank",IF(AND(L116="Escalated",N116&lt;&gt;"",NETWORKDAYS(B116,N116)-1&gt;Settings!$B$10),"Sponsor Bank notified late",IF(AND(K116&lt;&gt;"",K116&lt;&gt;"None",Q116=""),"Enter the legal deadline",IF(AND(S116&lt;&gt;"",OR(T116="",V116="")),"Record outcome and root cause",IF(AND(P116="",S116="",Settings!$B$4&gt;O116),"Acknowledgment overdue",""))))))))</f>
        <v/>
      </c>
    </row>
    <row r="117" ht="15.75" customHeight="1" s="31">
      <c r="A117" s="44" t="n"/>
      <c r="B117" s="45" t="n"/>
      <c r="C117" s="45" t="n"/>
      <c r="D117" s="44" t="n"/>
      <c r="E117" s="44" t="n"/>
      <c r="F117" s="44" t="n"/>
      <c r="G117" s="44" t="n"/>
      <c r="H117" s="44" t="n"/>
      <c r="I117" s="44" t="n"/>
      <c r="J117" s="44" t="n"/>
      <c r="K117" s="44" t="n"/>
      <c r="L117" s="41">
        <f>IF(B117="","",IF(OR(COUNTIF(Settings!$E$4:$E$9,D117)&gt;0,I117="Yes",J117="Yes",K117="Fair lending allegation"),"Escalated","Standard"))</f>
        <v/>
      </c>
      <c r="M117" s="45" t="n"/>
      <c r="N117" s="45" t="n"/>
      <c r="O117" s="42">
        <f>IF(B117="","",WORKDAY(B117,Settings!$B$7))</f>
        <v/>
      </c>
      <c r="P117" s="45" t="n"/>
      <c r="Q117" s="45" t="n"/>
      <c r="R117" s="42">
        <f>IF(B117="","",IF(Q117&lt;&gt;"",MIN(Q117,IF(L117="Escalated",B117+Settings!$B$9,WORKDAY(B117,Settings!$B$8))),IF(L117="Escalated",B117+Settings!$B$9,WORKDAY(B117,Settings!$B$8))))</f>
        <v/>
      </c>
      <c r="S117" s="45" t="n"/>
      <c r="T117" s="44" t="n"/>
      <c r="U117" s="46" t="n"/>
      <c r="V117" s="44" t="n"/>
      <c r="W117" s="44" t="n"/>
      <c r="X117" s="44" t="n"/>
      <c r="Y117" s="41">
        <f>IF(B117="","",IF(S117&lt;&gt;"",S117,Settings!$B$4)-B117)</f>
        <v/>
      </c>
      <c r="Z117" s="41">
        <f>IF(B117="","",IF(S117&lt;&gt;"",IF(S117&gt;R117,"Closed late","Closed on time"),IF(Settings!$B$4&gt;R117,"Open: overdue","Open")))</f>
        <v/>
      </c>
      <c r="AA117" s="41">
        <f>IF(B117="","",IF(NETWORKDAYS(B117,C117)-1&gt;Settings!$B$5,"Logged late",IF(AND(L117="Escalated",M117=""),"Escalate to Compliance",IF(AND(L117="Escalated",N117=""),"Notify Sponsor Bank",IF(AND(L117="Escalated",N117&lt;&gt;"",NETWORKDAYS(B117,N117)-1&gt;Settings!$B$10),"Sponsor Bank notified late",IF(AND(K117&lt;&gt;"",K117&lt;&gt;"None",Q117=""),"Enter the legal deadline",IF(AND(S117&lt;&gt;"",OR(T117="",V117="")),"Record outcome and root cause",IF(AND(P117="",S117="",Settings!$B$4&gt;O117),"Acknowledgment overdue",""))))))))</f>
        <v/>
      </c>
    </row>
    <row r="118" ht="15.75" customHeight="1" s="31">
      <c r="A118" s="44" t="n"/>
      <c r="B118" s="45" t="n"/>
      <c r="C118" s="45" t="n"/>
      <c r="D118" s="44" t="n"/>
      <c r="E118" s="44" t="n"/>
      <c r="F118" s="44" t="n"/>
      <c r="G118" s="44" t="n"/>
      <c r="H118" s="44" t="n"/>
      <c r="I118" s="44" t="n"/>
      <c r="J118" s="44" t="n"/>
      <c r="K118" s="44" t="n"/>
      <c r="L118" s="41">
        <f>IF(B118="","",IF(OR(COUNTIF(Settings!$E$4:$E$9,D118)&gt;0,I118="Yes",J118="Yes",K118="Fair lending allegation"),"Escalated","Standard"))</f>
        <v/>
      </c>
      <c r="M118" s="45" t="n"/>
      <c r="N118" s="45" t="n"/>
      <c r="O118" s="42">
        <f>IF(B118="","",WORKDAY(B118,Settings!$B$7))</f>
        <v/>
      </c>
      <c r="P118" s="45" t="n"/>
      <c r="Q118" s="45" t="n"/>
      <c r="R118" s="42">
        <f>IF(B118="","",IF(Q118&lt;&gt;"",MIN(Q118,IF(L118="Escalated",B118+Settings!$B$9,WORKDAY(B118,Settings!$B$8))),IF(L118="Escalated",B118+Settings!$B$9,WORKDAY(B118,Settings!$B$8))))</f>
        <v/>
      </c>
      <c r="S118" s="45" t="n"/>
      <c r="T118" s="44" t="n"/>
      <c r="U118" s="46" t="n"/>
      <c r="V118" s="44" t="n"/>
      <c r="W118" s="44" t="n"/>
      <c r="X118" s="44" t="n"/>
      <c r="Y118" s="41">
        <f>IF(B118="","",IF(S118&lt;&gt;"",S118,Settings!$B$4)-B118)</f>
        <v/>
      </c>
      <c r="Z118" s="41">
        <f>IF(B118="","",IF(S118&lt;&gt;"",IF(S118&gt;R118,"Closed late","Closed on time"),IF(Settings!$B$4&gt;R118,"Open: overdue","Open")))</f>
        <v/>
      </c>
      <c r="AA118" s="41">
        <f>IF(B118="","",IF(NETWORKDAYS(B118,C118)-1&gt;Settings!$B$5,"Logged late",IF(AND(L118="Escalated",M118=""),"Escalate to Compliance",IF(AND(L118="Escalated",N118=""),"Notify Sponsor Bank",IF(AND(L118="Escalated",N118&lt;&gt;"",NETWORKDAYS(B118,N118)-1&gt;Settings!$B$10),"Sponsor Bank notified late",IF(AND(K118&lt;&gt;"",K118&lt;&gt;"None",Q118=""),"Enter the legal deadline",IF(AND(S118&lt;&gt;"",OR(T118="",V118="")),"Record outcome and root cause",IF(AND(P118="",S118="",Settings!$B$4&gt;O118),"Acknowledgment overdue",""))))))))</f>
        <v/>
      </c>
    </row>
    <row r="119" ht="15.75" customHeight="1" s="31">
      <c r="A119" s="44" t="n"/>
      <c r="B119" s="45" t="n"/>
      <c r="C119" s="45" t="n"/>
      <c r="D119" s="44" t="n"/>
      <c r="E119" s="44" t="n"/>
      <c r="F119" s="44" t="n"/>
      <c r="G119" s="44" t="n"/>
      <c r="H119" s="44" t="n"/>
      <c r="I119" s="44" t="n"/>
      <c r="J119" s="44" t="n"/>
      <c r="K119" s="44" t="n"/>
      <c r="L119" s="41">
        <f>IF(B119="","",IF(OR(COUNTIF(Settings!$E$4:$E$9,D119)&gt;0,I119="Yes",J119="Yes",K119="Fair lending allegation"),"Escalated","Standard"))</f>
        <v/>
      </c>
      <c r="M119" s="45" t="n"/>
      <c r="N119" s="45" t="n"/>
      <c r="O119" s="42">
        <f>IF(B119="","",WORKDAY(B119,Settings!$B$7))</f>
        <v/>
      </c>
      <c r="P119" s="45" t="n"/>
      <c r="Q119" s="45" t="n"/>
      <c r="R119" s="42">
        <f>IF(B119="","",IF(Q119&lt;&gt;"",MIN(Q119,IF(L119="Escalated",B119+Settings!$B$9,WORKDAY(B119,Settings!$B$8))),IF(L119="Escalated",B119+Settings!$B$9,WORKDAY(B119,Settings!$B$8))))</f>
        <v/>
      </c>
      <c r="S119" s="45" t="n"/>
      <c r="T119" s="44" t="n"/>
      <c r="U119" s="46" t="n"/>
      <c r="V119" s="44" t="n"/>
      <c r="W119" s="44" t="n"/>
      <c r="X119" s="44" t="n"/>
      <c r="Y119" s="41">
        <f>IF(B119="","",IF(S119&lt;&gt;"",S119,Settings!$B$4)-B119)</f>
        <v/>
      </c>
      <c r="Z119" s="41">
        <f>IF(B119="","",IF(S119&lt;&gt;"",IF(S119&gt;R119,"Closed late","Closed on time"),IF(Settings!$B$4&gt;R119,"Open: overdue","Open")))</f>
        <v/>
      </c>
      <c r="AA119" s="41">
        <f>IF(B119="","",IF(NETWORKDAYS(B119,C119)-1&gt;Settings!$B$5,"Logged late",IF(AND(L119="Escalated",M119=""),"Escalate to Compliance",IF(AND(L119="Escalated",N119=""),"Notify Sponsor Bank",IF(AND(L119="Escalated",N119&lt;&gt;"",NETWORKDAYS(B119,N119)-1&gt;Settings!$B$10),"Sponsor Bank notified late",IF(AND(K119&lt;&gt;"",K119&lt;&gt;"None",Q119=""),"Enter the legal deadline",IF(AND(S119&lt;&gt;"",OR(T119="",V119="")),"Record outcome and root cause",IF(AND(P119="",S119="",Settings!$B$4&gt;O119),"Acknowledgment overdue",""))))))))</f>
        <v/>
      </c>
    </row>
    <row r="120" ht="15.75" customHeight="1" s="31">
      <c r="A120" s="44" t="n"/>
      <c r="B120" s="45" t="n"/>
      <c r="C120" s="45" t="n"/>
      <c r="D120" s="44" t="n"/>
      <c r="E120" s="44" t="n"/>
      <c r="F120" s="44" t="n"/>
      <c r="G120" s="44" t="n"/>
      <c r="H120" s="44" t="n"/>
      <c r="I120" s="44" t="n"/>
      <c r="J120" s="44" t="n"/>
      <c r="K120" s="44" t="n"/>
      <c r="L120" s="41">
        <f>IF(B120="","",IF(OR(COUNTIF(Settings!$E$4:$E$9,D120)&gt;0,I120="Yes",J120="Yes",K120="Fair lending allegation"),"Escalated","Standard"))</f>
        <v/>
      </c>
      <c r="M120" s="45" t="n"/>
      <c r="N120" s="45" t="n"/>
      <c r="O120" s="42">
        <f>IF(B120="","",WORKDAY(B120,Settings!$B$7))</f>
        <v/>
      </c>
      <c r="P120" s="45" t="n"/>
      <c r="Q120" s="45" t="n"/>
      <c r="R120" s="42">
        <f>IF(B120="","",IF(Q120&lt;&gt;"",MIN(Q120,IF(L120="Escalated",B120+Settings!$B$9,WORKDAY(B120,Settings!$B$8))),IF(L120="Escalated",B120+Settings!$B$9,WORKDAY(B120,Settings!$B$8))))</f>
        <v/>
      </c>
      <c r="S120" s="45" t="n"/>
      <c r="T120" s="44" t="n"/>
      <c r="U120" s="46" t="n"/>
      <c r="V120" s="44" t="n"/>
      <c r="W120" s="44" t="n"/>
      <c r="X120" s="44" t="n"/>
      <c r="Y120" s="41">
        <f>IF(B120="","",IF(S120&lt;&gt;"",S120,Settings!$B$4)-B120)</f>
        <v/>
      </c>
      <c r="Z120" s="41">
        <f>IF(B120="","",IF(S120&lt;&gt;"",IF(S120&gt;R120,"Closed late","Closed on time"),IF(Settings!$B$4&gt;R120,"Open: overdue","Open")))</f>
        <v/>
      </c>
      <c r="AA120" s="41">
        <f>IF(B120="","",IF(NETWORKDAYS(B120,C120)-1&gt;Settings!$B$5,"Logged late",IF(AND(L120="Escalated",M120=""),"Escalate to Compliance",IF(AND(L120="Escalated",N120=""),"Notify Sponsor Bank",IF(AND(L120="Escalated",N120&lt;&gt;"",NETWORKDAYS(B120,N120)-1&gt;Settings!$B$10),"Sponsor Bank notified late",IF(AND(K120&lt;&gt;"",K120&lt;&gt;"None",Q120=""),"Enter the legal deadline",IF(AND(S120&lt;&gt;"",OR(T120="",V120="")),"Record outcome and root cause",IF(AND(P120="",S120="",Settings!$B$4&gt;O120),"Acknowledgment overdue",""))))))))</f>
        <v/>
      </c>
    </row>
    <row r="121" ht="15.75" customHeight="1" s="31">
      <c r="A121" s="44" t="n"/>
      <c r="B121" s="45" t="n"/>
      <c r="C121" s="45" t="n"/>
      <c r="D121" s="44" t="n"/>
      <c r="E121" s="44" t="n"/>
      <c r="F121" s="44" t="n"/>
      <c r="G121" s="44" t="n"/>
      <c r="H121" s="44" t="n"/>
      <c r="I121" s="44" t="n"/>
      <c r="J121" s="44" t="n"/>
      <c r="K121" s="44" t="n"/>
      <c r="L121" s="41">
        <f>IF(B121="","",IF(OR(COUNTIF(Settings!$E$4:$E$9,D121)&gt;0,I121="Yes",J121="Yes",K121="Fair lending allegation"),"Escalated","Standard"))</f>
        <v/>
      </c>
      <c r="M121" s="45" t="n"/>
      <c r="N121" s="45" t="n"/>
      <c r="O121" s="42">
        <f>IF(B121="","",WORKDAY(B121,Settings!$B$7))</f>
        <v/>
      </c>
      <c r="P121" s="45" t="n"/>
      <c r="Q121" s="45" t="n"/>
      <c r="R121" s="42">
        <f>IF(B121="","",IF(Q121&lt;&gt;"",MIN(Q121,IF(L121="Escalated",B121+Settings!$B$9,WORKDAY(B121,Settings!$B$8))),IF(L121="Escalated",B121+Settings!$B$9,WORKDAY(B121,Settings!$B$8))))</f>
        <v/>
      </c>
      <c r="S121" s="45" t="n"/>
      <c r="T121" s="44" t="n"/>
      <c r="U121" s="46" t="n"/>
      <c r="V121" s="44" t="n"/>
      <c r="W121" s="44" t="n"/>
      <c r="X121" s="44" t="n"/>
      <c r="Y121" s="41">
        <f>IF(B121="","",IF(S121&lt;&gt;"",S121,Settings!$B$4)-B121)</f>
        <v/>
      </c>
      <c r="Z121" s="41">
        <f>IF(B121="","",IF(S121&lt;&gt;"",IF(S121&gt;R121,"Closed late","Closed on time"),IF(Settings!$B$4&gt;R121,"Open: overdue","Open")))</f>
        <v/>
      </c>
      <c r="AA121" s="41">
        <f>IF(B121="","",IF(NETWORKDAYS(B121,C121)-1&gt;Settings!$B$5,"Logged late",IF(AND(L121="Escalated",M121=""),"Escalate to Compliance",IF(AND(L121="Escalated",N121=""),"Notify Sponsor Bank",IF(AND(L121="Escalated",N121&lt;&gt;"",NETWORKDAYS(B121,N121)-1&gt;Settings!$B$10),"Sponsor Bank notified late",IF(AND(K121&lt;&gt;"",K121&lt;&gt;"None",Q121=""),"Enter the legal deadline",IF(AND(S121&lt;&gt;"",OR(T121="",V121="")),"Record outcome and root cause",IF(AND(P121="",S121="",Settings!$B$4&gt;O121),"Acknowledgment overdue",""))))))))</f>
        <v/>
      </c>
    </row>
    <row r="122" ht="15.75" customHeight="1" s="31">
      <c r="A122" s="44" t="n"/>
      <c r="B122" s="45" t="n"/>
      <c r="C122" s="45" t="n"/>
      <c r="D122" s="44" t="n"/>
      <c r="E122" s="44" t="n"/>
      <c r="F122" s="44" t="n"/>
      <c r="G122" s="44" t="n"/>
      <c r="H122" s="44" t="n"/>
      <c r="I122" s="44" t="n"/>
      <c r="J122" s="44" t="n"/>
      <c r="K122" s="44" t="n"/>
      <c r="L122" s="41">
        <f>IF(B122="","",IF(OR(COUNTIF(Settings!$E$4:$E$9,D122)&gt;0,I122="Yes",J122="Yes",K122="Fair lending allegation"),"Escalated","Standard"))</f>
        <v/>
      </c>
      <c r="M122" s="45" t="n"/>
      <c r="N122" s="45" t="n"/>
      <c r="O122" s="42">
        <f>IF(B122="","",WORKDAY(B122,Settings!$B$7))</f>
        <v/>
      </c>
      <c r="P122" s="45" t="n"/>
      <c r="Q122" s="45" t="n"/>
      <c r="R122" s="42">
        <f>IF(B122="","",IF(Q122&lt;&gt;"",MIN(Q122,IF(L122="Escalated",B122+Settings!$B$9,WORKDAY(B122,Settings!$B$8))),IF(L122="Escalated",B122+Settings!$B$9,WORKDAY(B122,Settings!$B$8))))</f>
        <v/>
      </c>
      <c r="S122" s="45" t="n"/>
      <c r="T122" s="44" t="n"/>
      <c r="U122" s="46" t="n"/>
      <c r="V122" s="44" t="n"/>
      <c r="W122" s="44" t="n"/>
      <c r="X122" s="44" t="n"/>
      <c r="Y122" s="41">
        <f>IF(B122="","",IF(S122&lt;&gt;"",S122,Settings!$B$4)-B122)</f>
        <v/>
      </c>
      <c r="Z122" s="41">
        <f>IF(B122="","",IF(S122&lt;&gt;"",IF(S122&gt;R122,"Closed late","Closed on time"),IF(Settings!$B$4&gt;R122,"Open: overdue","Open")))</f>
        <v/>
      </c>
      <c r="AA122" s="41">
        <f>IF(B122="","",IF(NETWORKDAYS(B122,C122)-1&gt;Settings!$B$5,"Logged late",IF(AND(L122="Escalated",M122=""),"Escalate to Compliance",IF(AND(L122="Escalated",N122=""),"Notify Sponsor Bank",IF(AND(L122="Escalated",N122&lt;&gt;"",NETWORKDAYS(B122,N122)-1&gt;Settings!$B$10),"Sponsor Bank notified late",IF(AND(K122&lt;&gt;"",K122&lt;&gt;"None",Q122=""),"Enter the legal deadline",IF(AND(S122&lt;&gt;"",OR(T122="",V122="")),"Record outcome and root cause",IF(AND(P122="",S122="",Settings!$B$4&gt;O122),"Acknowledgment overdue",""))))))))</f>
        <v/>
      </c>
    </row>
    <row r="123" ht="15.75" customHeight="1" s="31">
      <c r="A123" s="44" t="n"/>
      <c r="B123" s="45" t="n"/>
      <c r="C123" s="45" t="n"/>
      <c r="D123" s="44" t="n"/>
      <c r="E123" s="44" t="n"/>
      <c r="F123" s="44" t="n"/>
      <c r="G123" s="44" t="n"/>
      <c r="H123" s="44" t="n"/>
      <c r="I123" s="44" t="n"/>
      <c r="J123" s="44" t="n"/>
      <c r="K123" s="44" t="n"/>
      <c r="L123" s="41">
        <f>IF(B123="","",IF(OR(COUNTIF(Settings!$E$4:$E$9,D123)&gt;0,I123="Yes",J123="Yes",K123="Fair lending allegation"),"Escalated","Standard"))</f>
        <v/>
      </c>
      <c r="M123" s="45" t="n"/>
      <c r="N123" s="45" t="n"/>
      <c r="O123" s="42">
        <f>IF(B123="","",WORKDAY(B123,Settings!$B$7))</f>
        <v/>
      </c>
      <c r="P123" s="45" t="n"/>
      <c r="Q123" s="45" t="n"/>
      <c r="R123" s="42">
        <f>IF(B123="","",IF(Q123&lt;&gt;"",MIN(Q123,IF(L123="Escalated",B123+Settings!$B$9,WORKDAY(B123,Settings!$B$8))),IF(L123="Escalated",B123+Settings!$B$9,WORKDAY(B123,Settings!$B$8))))</f>
        <v/>
      </c>
      <c r="S123" s="45" t="n"/>
      <c r="T123" s="44" t="n"/>
      <c r="U123" s="46" t="n"/>
      <c r="V123" s="44" t="n"/>
      <c r="W123" s="44" t="n"/>
      <c r="X123" s="44" t="n"/>
      <c r="Y123" s="41">
        <f>IF(B123="","",IF(S123&lt;&gt;"",S123,Settings!$B$4)-B123)</f>
        <v/>
      </c>
      <c r="Z123" s="41">
        <f>IF(B123="","",IF(S123&lt;&gt;"",IF(S123&gt;R123,"Closed late","Closed on time"),IF(Settings!$B$4&gt;R123,"Open: overdue","Open")))</f>
        <v/>
      </c>
      <c r="AA123" s="41">
        <f>IF(B123="","",IF(NETWORKDAYS(B123,C123)-1&gt;Settings!$B$5,"Logged late",IF(AND(L123="Escalated",M123=""),"Escalate to Compliance",IF(AND(L123="Escalated",N123=""),"Notify Sponsor Bank",IF(AND(L123="Escalated",N123&lt;&gt;"",NETWORKDAYS(B123,N123)-1&gt;Settings!$B$10),"Sponsor Bank notified late",IF(AND(K123&lt;&gt;"",K123&lt;&gt;"None",Q123=""),"Enter the legal deadline",IF(AND(S123&lt;&gt;"",OR(T123="",V123="")),"Record outcome and root cause",IF(AND(P123="",S123="",Settings!$B$4&gt;O123),"Acknowledgment overdue",""))))))))</f>
        <v/>
      </c>
    </row>
    <row r="124" ht="15.75" customHeight="1" s="31">
      <c r="A124" s="44" t="n"/>
      <c r="B124" s="45" t="n"/>
      <c r="C124" s="45" t="n"/>
      <c r="D124" s="44" t="n"/>
      <c r="E124" s="44" t="n"/>
      <c r="F124" s="44" t="n"/>
      <c r="G124" s="44" t="n"/>
      <c r="H124" s="44" t="n"/>
      <c r="I124" s="44" t="n"/>
      <c r="J124" s="44" t="n"/>
      <c r="K124" s="44" t="n"/>
      <c r="L124" s="41">
        <f>IF(B124="","",IF(OR(COUNTIF(Settings!$E$4:$E$9,D124)&gt;0,I124="Yes",J124="Yes",K124="Fair lending allegation"),"Escalated","Standard"))</f>
        <v/>
      </c>
      <c r="M124" s="45" t="n"/>
      <c r="N124" s="45" t="n"/>
      <c r="O124" s="42">
        <f>IF(B124="","",WORKDAY(B124,Settings!$B$7))</f>
        <v/>
      </c>
      <c r="P124" s="45" t="n"/>
      <c r="Q124" s="45" t="n"/>
      <c r="R124" s="42">
        <f>IF(B124="","",IF(Q124&lt;&gt;"",MIN(Q124,IF(L124="Escalated",B124+Settings!$B$9,WORKDAY(B124,Settings!$B$8))),IF(L124="Escalated",B124+Settings!$B$9,WORKDAY(B124,Settings!$B$8))))</f>
        <v/>
      </c>
      <c r="S124" s="45" t="n"/>
      <c r="T124" s="44" t="n"/>
      <c r="U124" s="46" t="n"/>
      <c r="V124" s="44" t="n"/>
      <c r="W124" s="44" t="n"/>
      <c r="X124" s="44" t="n"/>
      <c r="Y124" s="41">
        <f>IF(B124="","",IF(S124&lt;&gt;"",S124,Settings!$B$4)-B124)</f>
        <v/>
      </c>
      <c r="Z124" s="41">
        <f>IF(B124="","",IF(S124&lt;&gt;"",IF(S124&gt;R124,"Closed late","Closed on time"),IF(Settings!$B$4&gt;R124,"Open: overdue","Open")))</f>
        <v/>
      </c>
      <c r="AA124" s="41">
        <f>IF(B124="","",IF(NETWORKDAYS(B124,C124)-1&gt;Settings!$B$5,"Logged late",IF(AND(L124="Escalated",M124=""),"Escalate to Compliance",IF(AND(L124="Escalated",N124=""),"Notify Sponsor Bank",IF(AND(L124="Escalated",N124&lt;&gt;"",NETWORKDAYS(B124,N124)-1&gt;Settings!$B$10),"Sponsor Bank notified late",IF(AND(K124&lt;&gt;"",K124&lt;&gt;"None",Q124=""),"Enter the legal deadline",IF(AND(S124&lt;&gt;"",OR(T124="",V124="")),"Record outcome and root cause",IF(AND(P124="",S124="",Settings!$B$4&gt;O124),"Acknowledgment overdue",""))))))))</f>
        <v/>
      </c>
    </row>
    <row r="125" ht="15.75" customHeight="1" s="31">
      <c r="A125" s="44" t="n"/>
      <c r="B125" s="45" t="n"/>
      <c r="C125" s="45" t="n"/>
      <c r="D125" s="44" t="n"/>
      <c r="E125" s="44" t="n"/>
      <c r="F125" s="44" t="n"/>
      <c r="G125" s="44" t="n"/>
      <c r="H125" s="44" t="n"/>
      <c r="I125" s="44" t="n"/>
      <c r="J125" s="44" t="n"/>
      <c r="K125" s="44" t="n"/>
      <c r="L125" s="41">
        <f>IF(B125="","",IF(OR(COUNTIF(Settings!$E$4:$E$9,D125)&gt;0,I125="Yes",J125="Yes",K125="Fair lending allegation"),"Escalated","Standard"))</f>
        <v/>
      </c>
      <c r="M125" s="45" t="n"/>
      <c r="N125" s="45" t="n"/>
      <c r="O125" s="42">
        <f>IF(B125="","",WORKDAY(B125,Settings!$B$7))</f>
        <v/>
      </c>
      <c r="P125" s="45" t="n"/>
      <c r="Q125" s="45" t="n"/>
      <c r="R125" s="42">
        <f>IF(B125="","",IF(Q125&lt;&gt;"",MIN(Q125,IF(L125="Escalated",B125+Settings!$B$9,WORKDAY(B125,Settings!$B$8))),IF(L125="Escalated",B125+Settings!$B$9,WORKDAY(B125,Settings!$B$8))))</f>
        <v/>
      </c>
      <c r="S125" s="45" t="n"/>
      <c r="T125" s="44" t="n"/>
      <c r="U125" s="46" t="n"/>
      <c r="V125" s="44" t="n"/>
      <c r="W125" s="44" t="n"/>
      <c r="X125" s="44" t="n"/>
      <c r="Y125" s="41">
        <f>IF(B125="","",IF(S125&lt;&gt;"",S125,Settings!$B$4)-B125)</f>
        <v/>
      </c>
      <c r="Z125" s="41">
        <f>IF(B125="","",IF(S125&lt;&gt;"",IF(S125&gt;R125,"Closed late","Closed on time"),IF(Settings!$B$4&gt;R125,"Open: overdue","Open")))</f>
        <v/>
      </c>
      <c r="AA125" s="41">
        <f>IF(B125="","",IF(NETWORKDAYS(B125,C125)-1&gt;Settings!$B$5,"Logged late",IF(AND(L125="Escalated",M125=""),"Escalate to Compliance",IF(AND(L125="Escalated",N125=""),"Notify Sponsor Bank",IF(AND(L125="Escalated",N125&lt;&gt;"",NETWORKDAYS(B125,N125)-1&gt;Settings!$B$10),"Sponsor Bank notified late",IF(AND(K125&lt;&gt;"",K125&lt;&gt;"None",Q125=""),"Enter the legal deadline",IF(AND(S125&lt;&gt;"",OR(T125="",V125="")),"Record outcome and root cause",IF(AND(P125="",S125="",Settings!$B$4&gt;O125),"Acknowledgment overdue",""))))))))</f>
        <v/>
      </c>
    </row>
    <row r="126" ht="15.75" customHeight="1" s="31">
      <c r="A126" s="44" t="n"/>
      <c r="B126" s="45" t="n"/>
      <c r="C126" s="45" t="n"/>
      <c r="D126" s="44" t="n"/>
      <c r="E126" s="44" t="n"/>
      <c r="F126" s="44" t="n"/>
      <c r="G126" s="44" t="n"/>
      <c r="H126" s="44" t="n"/>
      <c r="I126" s="44" t="n"/>
      <c r="J126" s="44" t="n"/>
      <c r="K126" s="44" t="n"/>
      <c r="L126" s="41">
        <f>IF(B126="","",IF(OR(COUNTIF(Settings!$E$4:$E$9,D126)&gt;0,I126="Yes",J126="Yes",K126="Fair lending allegation"),"Escalated","Standard"))</f>
        <v/>
      </c>
      <c r="M126" s="45" t="n"/>
      <c r="N126" s="45" t="n"/>
      <c r="O126" s="42">
        <f>IF(B126="","",WORKDAY(B126,Settings!$B$7))</f>
        <v/>
      </c>
      <c r="P126" s="45" t="n"/>
      <c r="Q126" s="45" t="n"/>
      <c r="R126" s="42">
        <f>IF(B126="","",IF(Q126&lt;&gt;"",MIN(Q126,IF(L126="Escalated",B126+Settings!$B$9,WORKDAY(B126,Settings!$B$8))),IF(L126="Escalated",B126+Settings!$B$9,WORKDAY(B126,Settings!$B$8))))</f>
        <v/>
      </c>
      <c r="S126" s="45" t="n"/>
      <c r="T126" s="44" t="n"/>
      <c r="U126" s="46" t="n"/>
      <c r="V126" s="44" t="n"/>
      <c r="W126" s="44" t="n"/>
      <c r="X126" s="44" t="n"/>
      <c r="Y126" s="41">
        <f>IF(B126="","",IF(S126&lt;&gt;"",S126,Settings!$B$4)-B126)</f>
        <v/>
      </c>
      <c r="Z126" s="41">
        <f>IF(B126="","",IF(S126&lt;&gt;"",IF(S126&gt;R126,"Closed late","Closed on time"),IF(Settings!$B$4&gt;R126,"Open: overdue","Open")))</f>
        <v/>
      </c>
      <c r="AA126" s="41">
        <f>IF(B126="","",IF(NETWORKDAYS(B126,C126)-1&gt;Settings!$B$5,"Logged late",IF(AND(L126="Escalated",M126=""),"Escalate to Compliance",IF(AND(L126="Escalated",N126=""),"Notify Sponsor Bank",IF(AND(L126="Escalated",N126&lt;&gt;"",NETWORKDAYS(B126,N126)-1&gt;Settings!$B$10),"Sponsor Bank notified late",IF(AND(K126&lt;&gt;"",K126&lt;&gt;"None",Q126=""),"Enter the legal deadline",IF(AND(S126&lt;&gt;"",OR(T126="",V126="")),"Record outcome and root cause",IF(AND(P126="",S126="",Settings!$B$4&gt;O126),"Acknowledgment overdue",""))))))))</f>
        <v/>
      </c>
    </row>
    <row r="127" ht="15.75" customHeight="1" s="31">
      <c r="A127" s="44" t="n"/>
      <c r="B127" s="45" t="n"/>
      <c r="C127" s="45" t="n"/>
      <c r="D127" s="44" t="n"/>
      <c r="E127" s="44" t="n"/>
      <c r="F127" s="44" t="n"/>
      <c r="G127" s="44" t="n"/>
      <c r="H127" s="44" t="n"/>
      <c r="I127" s="44" t="n"/>
      <c r="J127" s="44" t="n"/>
      <c r="K127" s="44" t="n"/>
      <c r="L127" s="41">
        <f>IF(B127="","",IF(OR(COUNTIF(Settings!$E$4:$E$9,D127)&gt;0,I127="Yes",J127="Yes",K127="Fair lending allegation"),"Escalated","Standard"))</f>
        <v/>
      </c>
      <c r="M127" s="45" t="n"/>
      <c r="N127" s="45" t="n"/>
      <c r="O127" s="42">
        <f>IF(B127="","",WORKDAY(B127,Settings!$B$7))</f>
        <v/>
      </c>
      <c r="P127" s="45" t="n"/>
      <c r="Q127" s="45" t="n"/>
      <c r="R127" s="42">
        <f>IF(B127="","",IF(Q127&lt;&gt;"",MIN(Q127,IF(L127="Escalated",B127+Settings!$B$9,WORKDAY(B127,Settings!$B$8))),IF(L127="Escalated",B127+Settings!$B$9,WORKDAY(B127,Settings!$B$8))))</f>
        <v/>
      </c>
      <c r="S127" s="45" t="n"/>
      <c r="T127" s="44" t="n"/>
      <c r="U127" s="46" t="n"/>
      <c r="V127" s="44" t="n"/>
      <c r="W127" s="44" t="n"/>
      <c r="X127" s="44" t="n"/>
      <c r="Y127" s="41">
        <f>IF(B127="","",IF(S127&lt;&gt;"",S127,Settings!$B$4)-B127)</f>
        <v/>
      </c>
      <c r="Z127" s="41">
        <f>IF(B127="","",IF(S127&lt;&gt;"",IF(S127&gt;R127,"Closed late","Closed on time"),IF(Settings!$B$4&gt;R127,"Open: overdue","Open")))</f>
        <v/>
      </c>
      <c r="AA127" s="41">
        <f>IF(B127="","",IF(NETWORKDAYS(B127,C127)-1&gt;Settings!$B$5,"Logged late",IF(AND(L127="Escalated",M127=""),"Escalate to Compliance",IF(AND(L127="Escalated",N127=""),"Notify Sponsor Bank",IF(AND(L127="Escalated",N127&lt;&gt;"",NETWORKDAYS(B127,N127)-1&gt;Settings!$B$10),"Sponsor Bank notified late",IF(AND(K127&lt;&gt;"",K127&lt;&gt;"None",Q127=""),"Enter the legal deadline",IF(AND(S127&lt;&gt;"",OR(T127="",V127="")),"Record outcome and root cause",IF(AND(P127="",S127="",Settings!$B$4&gt;O127),"Acknowledgment overdue",""))))))))</f>
        <v/>
      </c>
    </row>
    <row r="128" ht="15.75" customHeight="1" s="31">
      <c r="A128" s="44" t="n"/>
      <c r="B128" s="45" t="n"/>
      <c r="C128" s="45" t="n"/>
      <c r="D128" s="44" t="n"/>
      <c r="E128" s="44" t="n"/>
      <c r="F128" s="44" t="n"/>
      <c r="G128" s="44" t="n"/>
      <c r="H128" s="44" t="n"/>
      <c r="I128" s="44" t="n"/>
      <c r="J128" s="44" t="n"/>
      <c r="K128" s="44" t="n"/>
      <c r="L128" s="41">
        <f>IF(B128="","",IF(OR(COUNTIF(Settings!$E$4:$E$9,D128)&gt;0,I128="Yes",J128="Yes",K128="Fair lending allegation"),"Escalated","Standard"))</f>
        <v/>
      </c>
      <c r="M128" s="45" t="n"/>
      <c r="N128" s="45" t="n"/>
      <c r="O128" s="42">
        <f>IF(B128="","",WORKDAY(B128,Settings!$B$7))</f>
        <v/>
      </c>
      <c r="P128" s="45" t="n"/>
      <c r="Q128" s="45" t="n"/>
      <c r="R128" s="42">
        <f>IF(B128="","",IF(Q128&lt;&gt;"",MIN(Q128,IF(L128="Escalated",B128+Settings!$B$9,WORKDAY(B128,Settings!$B$8))),IF(L128="Escalated",B128+Settings!$B$9,WORKDAY(B128,Settings!$B$8))))</f>
        <v/>
      </c>
      <c r="S128" s="45" t="n"/>
      <c r="T128" s="44" t="n"/>
      <c r="U128" s="46" t="n"/>
      <c r="V128" s="44" t="n"/>
      <c r="W128" s="44" t="n"/>
      <c r="X128" s="44" t="n"/>
      <c r="Y128" s="41">
        <f>IF(B128="","",IF(S128&lt;&gt;"",S128,Settings!$B$4)-B128)</f>
        <v/>
      </c>
      <c r="Z128" s="41">
        <f>IF(B128="","",IF(S128&lt;&gt;"",IF(S128&gt;R128,"Closed late","Closed on time"),IF(Settings!$B$4&gt;R128,"Open: overdue","Open")))</f>
        <v/>
      </c>
      <c r="AA128" s="41">
        <f>IF(B128="","",IF(NETWORKDAYS(B128,C128)-1&gt;Settings!$B$5,"Logged late",IF(AND(L128="Escalated",M128=""),"Escalate to Compliance",IF(AND(L128="Escalated",N128=""),"Notify Sponsor Bank",IF(AND(L128="Escalated",N128&lt;&gt;"",NETWORKDAYS(B128,N128)-1&gt;Settings!$B$10),"Sponsor Bank notified late",IF(AND(K128&lt;&gt;"",K128&lt;&gt;"None",Q128=""),"Enter the legal deadline",IF(AND(S128&lt;&gt;"",OR(T128="",V128="")),"Record outcome and root cause",IF(AND(P128="",S128="",Settings!$B$4&gt;O128),"Acknowledgment overdue",""))))))))</f>
        <v/>
      </c>
    </row>
    <row r="129" ht="15.75" customHeight="1" s="31">
      <c r="A129" s="44" t="n"/>
      <c r="B129" s="45" t="n"/>
      <c r="C129" s="45" t="n"/>
      <c r="D129" s="44" t="n"/>
      <c r="E129" s="44" t="n"/>
      <c r="F129" s="44" t="n"/>
      <c r="G129" s="44" t="n"/>
      <c r="H129" s="44" t="n"/>
      <c r="I129" s="44" t="n"/>
      <c r="J129" s="44" t="n"/>
      <c r="K129" s="44" t="n"/>
      <c r="L129" s="41">
        <f>IF(B129="","",IF(OR(COUNTIF(Settings!$E$4:$E$9,D129)&gt;0,I129="Yes",J129="Yes",K129="Fair lending allegation"),"Escalated","Standard"))</f>
        <v/>
      </c>
      <c r="M129" s="45" t="n"/>
      <c r="N129" s="45" t="n"/>
      <c r="O129" s="42">
        <f>IF(B129="","",WORKDAY(B129,Settings!$B$7))</f>
        <v/>
      </c>
      <c r="P129" s="45" t="n"/>
      <c r="Q129" s="45" t="n"/>
      <c r="R129" s="42">
        <f>IF(B129="","",IF(Q129&lt;&gt;"",MIN(Q129,IF(L129="Escalated",B129+Settings!$B$9,WORKDAY(B129,Settings!$B$8))),IF(L129="Escalated",B129+Settings!$B$9,WORKDAY(B129,Settings!$B$8))))</f>
        <v/>
      </c>
      <c r="S129" s="45" t="n"/>
      <c r="T129" s="44" t="n"/>
      <c r="U129" s="46" t="n"/>
      <c r="V129" s="44" t="n"/>
      <c r="W129" s="44" t="n"/>
      <c r="X129" s="44" t="n"/>
      <c r="Y129" s="41">
        <f>IF(B129="","",IF(S129&lt;&gt;"",S129,Settings!$B$4)-B129)</f>
        <v/>
      </c>
      <c r="Z129" s="41">
        <f>IF(B129="","",IF(S129&lt;&gt;"",IF(S129&gt;R129,"Closed late","Closed on time"),IF(Settings!$B$4&gt;R129,"Open: overdue","Open")))</f>
        <v/>
      </c>
      <c r="AA129" s="41">
        <f>IF(B129="","",IF(NETWORKDAYS(B129,C129)-1&gt;Settings!$B$5,"Logged late",IF(AND(L129="Escalated",M129=""),"Escalate to Compliance",IF(AND(L129="Escalated",N129=""),"Notify Sponsor Bank",IF(AND(L129="Escalated",N129&lt;&gt;"",NETWORKDAYS(B129,N129)-1&gt;Settings!$B$10),"Sponsor Bank notified late",IF(AND(K129&lt;&gt;"",K129&lt;&gt;"None",Q129=""),"Enter the legal deadline",IF(AND(S129&lt;&gt;"",OR(T129="",V129="")),"Record outcome and root cause",IF(AND(P129="",S129="",Settings!$B$4&gt;O129),"Acknowledgment overdue",""))))))))</f>
        <v/>
      </c>
    </row>
    <row r="130" ht="15.75" customHeight="1" s="31">
      <c r="A130" s="44" t="n"/>
      <c r="B130" s="45" t="n"/>
      <c r="C130" s="45" t="n"/>
      <c r="D130" s="44" t="n"/>
      <c r="E130" s="44" t="n"/>
      <c r="F130" s="44" t="n"/>
      <c r="G130" s="44" t="n"/>
      <c r="H130" s="44" t="n"/>
      <c r="I130" s="44" t="n"/>
      <c r="J130" s="44" t="n"/>
      <c r="K130" s="44" t="n"/>
      <c r="L130" s="41">
        <f>IF(B130="","",IF(OR(COUNTIF(Settings!$E$4:$E$9,D130)&gt;0,I130="Yes",J130="Yes",K130="Fair lending allegation"),"Escalated","Standard"))</f>
        <v/>
      </c>
      <c r="M130" s="45" t="n"/>
      <c r="N130" s="45" t="n"/>
      <c r="O130" s="42">
        <f>IF(B130="","",WORKDAY(B130,Settings!$B$7))</f>
        <v/>
      </c>
      <c r="P130" s="45" t="n"/>
      <c r="Q130" s="45" t="n"/>
      <c r="R130" s="42">
        <f>IF(B130="","",IF(Q130&lt;&gt;"",MIN(Q130,IF(L130="Escalated",B130+Settings!$B$9,WORKDAY(B130,Settings!$B$8))),IF(L130="Escalated",B130+Settings!$B$9,WORKDAY(B130,Settings!$B$8))))</f>
        <v/>
      </c>
      <c r="S130" s="45" t="n"/>
      <c r="T130" s="44" t="n"/>
      <c r="U130" s="46" t="n"/>
      <c r="V130" s="44" t="n"/>
      <c r="W130" s="44" t="n"/>
      <c r="X130" s="44" t="n"/>
      <c r="Y130" s="41">
        <f>IF(B130="","",IF(S130&lt;&gt;"",S130,Settings!$B$4)-B130)</f>
        <v/>
      </c>
      <c r="Z130" s="41">
        <f>IF(B130="","",IF(S130&lt;&gt;"",IF(S130&gt;R130,"Closed late","Closed on time"),IF(Settings!$B$4&gt;R130,"Open: overdue","Open")))</f>
        <v/>
      </c>
      <c r="AA130" s="41">
        <f>IF(B130="","",IF(NETWORKDAYS(B130,C130)-1&gt;Settings!$B$5,"Logged late",IF(AND(L130="Escalated",M130=""),"Escalate to Compliance",IF(AND(L130="Escalated",N130=""),"Notify Sponsor Bank",IF(AND(L130="Escalated",N130&lt;&gt;"",NETWORKDAYS(B130,N130)-1&gt;Settings!$B$10),"Sponsor Bank notified late",IF(AND(K130&lt;&gt;"",K130&lt;&gt;"None",Q130=""),"Enter the legal deadline",IF(AND(S130&lt;&gt;"",OR(T130="",V130="")),"Record outcome and root cause",IF(AND(P130="",S130="",Settings!$B$4&gt;O130),"Acknowledgment overdue",""))))))))</f>
        <v/>
      </c>
    </row>
    <row r="131" ht="15.75" customHeight="1" s="31">
      <c r="A131" s="44" t="n"/>
      <c r="B131" s="45" t="n"/>
      <c r="C131" s="45" t="n"/>
      <c r="D131" s="44" t="n"/>
      <c r="E131" s="44" t="n"/>
      <c r="F131" s="44" t="n"/>
      <c r="G131" s="44" t="n"/>
      <c r="H131" s="44" t="n"/>
      <c r="I131" s="44" t="n"/>
      <c r="J131" s="44" t="n"/>
      <c r="K131" s="44" t="n"/>
      <c r="L131" s="41">
        <f>IF(B131="","",IF(OR(COUNTIF(Settings!$E$4:$E$9,D131)&gt;0,I131="Yes",J131="Yes",K131="Fair lending allegation"),"Escalated","Standard"))</f>
        <v/>
      </c>
      <c r="M131" s="45" t="n"/>
      <c r="N131" s="45" t="n"/>
      <c r="O131" s="42">
        <f>IF(B131="","",WORKDAY(B131,Settings!$B$7))</f>
        <v/>
      </c>
      <c r="P131" s="45" t="n"/>
      <c r="Q131" s="45" t="n"/>
      <c r="R131" s="42">
        <f>IF(B131="","",IF(Q131&lt;&gt;"",MIN(Q131,IF(L131="Escalated",B131+Settings!$B$9,WORKDAY(B131,Settings!$B$8))),IF(L131="Escalated",B131+Settings!$B$9,WORKDAY(B131,Settings!$B$8))))</f>
        <v/>
      </c>
      <c r="S131" s="45" t="n"/>
      <c r="T131" s="44" t="n"/>
      <c r="U131" s="46" t="n"/>
      <c r="V131" s="44" t="n"/>
      <c r="W131" s="44" t="n"/>
      <c r="X131" s="44" t="n"/>
      <c r="Y131" s="41">
        <f>IF(B131="","",IF(S131&lt;&gt;"",S131,Settings!$B$4)-B131)</f>
        <v/>
      </c>
      <c r="Z131" s="41">
        <f>IF(B131="","",IF(S131&lt;&gt;"",IF(S131&gt;R131,"Closed late","Closed on time"),IF(Settings!$B$4&gt;R131,"Open: overdue","Open")))</f>
        <v/>
      </c>
      <c r="AA131" s="41">
        <f>IF(B131="","",IF(NETWORKDAYS(B131,C131)-1&gt;Settings!$B$5,"Logged late",IF(AND(L131="Escalated",M131=""),"Escalate to Compliance",IF(AND(L131="Escalated",N131=""),"Notify Sponsor Bank",IF(AND(L131="Escalated",N131&lt;&gt;"",NETWORKDAYS(B131,N131)-1&gt;Settings!$B$10),"Sponsor Bank notified late",IF(AND(K131&lt;&gt;"",K131&lt;&gt;"None",Q131=""),"Enter the legal deadline",IF(AND(S131&lt;&gt;"",OR(T131="",V131="")),"Record outcome and root cause",IF(AND(P131="",S131="",Settings!$B$4&gt;O131),"Acknowledgment overdue",""))))))))</f>
        <v/>
      </c>
    </row>
    <row r="132" ht="15.75" customHeight="1" s="31">
      <c r="A132" s="44" t="n"/>
      <c r="B132" s="45" t="n"/>
      <c r="C132" s="45" t="n"/>
      <c r="D132" s="44" t="n"/>
      <c r="E132" s="44" t="n"/>
      <c r="F132" s="44" t="n"/>
      <c r="G132" s="44" t="n"/>
      <c r="H132" s="44" t="n"/>
      <c r="I132" s="44" t="n"/>
      <c r="J132" s="44" t="n"/>
      <c r="K132" s="44" t="n"/>
      <c r="L132" s="41">
        <f>IF(B132="","",IF(OR(COUNTIF(Settings!$E$4:$E$9,D132)&gt;0,I132="Yes",J132="Yes",K132="Fair lending allegation"),"Escalated","Standard"))</f>
        <v/>
      </c>
      <c r="M132" s="45" t="n"/>
      <c r="N132" s="45" t="n"/>
      <c r="O132" s="42">
        <f>IF(B132="","",WORKDAY(B132,Settings!$B$7))</f>
        <v/>
      </c>
      <c r="P132" s="45" t="n"/>
      <c r="Q132" s="45" t="n"/>
      <c r="R132" s="42">
        <f>IF(B132="","",IF(Q132&lt;&gt;"",MIN(Q132,IF(L132="Escalated",B132+Settings!$B$9,WORKDAY(B132,Settings!$B$8))),IF(L132="Escalated",B132+Settings!$B$9,WORKDAY(B132,Settings!$B$8))))</f>
        <v/>
      </c>
      <c r="S132" s="45" t="n"/>
      <c r="T132" s="44" t="n"/>
      <c r="U132" s="46" t="n"/>
      <c r="V132" s="44" t="n"/>
      <c r="W132" s="44" t="n"/>
      <c r="X132" s="44" t="n"/>
      <c r="Y132" s="41">
        <f>IF(B132="","",IF(S132&lt;&gt;"",S132,Settings!$B$4)-B132)</f>
        <v/>
      </c>
      <c r="Z132" s="41">
        <f>IF(B132="","",IF(S132&lt;&gt;"",IF(S132&gt;R132,"Closed late","Closed on time"),IF(Settings!$B$4&gt;R132,"Open: overdue","Open")))</f>
        <v/>
      </c>
      <c r="AA132" s="41">
        <f>IF(B132="","",IF(NETWORKDAYS(B132,C132)-1&gt;Settings!$B$5,"Logged late",IF(AND(L132="Escalated",M132=""),"Escalate to Compliance",IF(AND(L132="Escalated",N132=""),"Notify Sponsor Bank",IF(AND(L132="Escalated",N132&lt;&gt;"",NETWORKDAYS(B132,N132)-1&gt;Settings!$B$10),"Sponsor Bank notified late",IF(AND(K132&lt;&gt;"",K132&lt;&gt;"None",Q132=""),"Enter the legal deadline",IF(AND(S132&lt;&gt;"",OR(T132="",V132="")),"Record outcome and root cause",IF(AND(P132="",S132="",Settings!$B$4&gt;O132),"Acknowledgment overdue",""))))))))</f>
        <v/>
      </c>
    </row>
    <row r="133" ht="15.75" customHeight="1" s="31">
      <c r="A133" s="44" t="n"/>
      <c r="B133" s="45" t="n"/>
      <c r="C133" s="45" t="n"/>
      <c r="D133" s="44" t="n"/>
      <c r="E133" s="44" t="n"/>
      <c r="F133" s="44" t="n"/>
      <c r="G133" s="44" t="n"/>
      <c r="H133" s="44" t="n"/>
      <c r="I133" s="44" t="n"/>
      <c r="J133" s="44" t="n"/>
      <c r="K133" s="44" t="n"/>
      <c r="L133" s="41">
        <f>IF(B133="","",IF(OR(COUNTIF(Settings!$E$4:$E$9,D133)&gt;0,I133="Yes",J133="Yes",K133="Fair lending allegation"),"Escalated","Standard"))</f>
        <v/>
      </c>
      <c r="M133" s="45" t="n"/>
      <c r="N133" s="45" t="n"/>
      <c r="O133" s="42">
        <f>IF(B133="","",WORKDAY(B133,Settings!$B$7))</f>
        <v/>
      </c>
      <c r="P133" s="45" t="n"/>
      <c r="Q133" s="45" t="n"/>
      <c r="R133" s="42">
        <f>IF(B133="","",IF(Q133&lt;&gt;"",MIN(Q133,IF(L133="Escalated",B133+Settings!$B$9,WORKDAY(B133,Settings!$B$8))),IF(L133="Escalated",B133+Settings!$B$9,WORKDAY(B133,Settings!$B$8))))</f>
        <v/>
      </c>
      <c r="S133" s="45" t="n"/>
      <c r="T133" s="44" t="n"/>
      <c r="U133" s="46" t="n"/>
      <c r="V133" s="44" t="n"/>
      <c r="W133" s="44" t="n"/>
      <c r="X133" s="44" t="n"/>
      <c r="Y133" s="41">
        <f>IF(B133="","",IF(S133&lt;&gt;"",S133,Settings!$B$4)-B133)</f>
        <v/>
      </c>
      <c r="Z133" s="41">
        <f>IF(B133="","",IF(S133&lt;&gt;"",IF(S133&gt;R133,"Closed late","Closed on time"),IF(Settings!$B$4&gt;R133,"Open: overdue","Open")))</f>
        <v/>
      </c>
      <c r="AA133" s="41">
        <f>IF(B133="","",IF(NETWORKDAYS(B133,C133)-1&gt;Settings!$B$5,"Logged late",IF(AND(L133="Escalated",M133=""),"Escalate to Compliance",IF(AND(L133="Escalated",N133=""),"Notify Sponsor Bank",IF(AND(L133="Escalated",N133&lt;&gt;"",NETWORKDAYS(B133,N133)-1&gt;Settings!$B$10),"Sponsor Bank notified late",IF(AND(K133&lt;&gt;"",K133&lt;&gt;"None",Q133=""),"Enter the legal deadline",IF(AND(S133&lt;&gt;"",OR(T133="",V133="")),"Record outcome and root cause",IF(AND(P133="",S133="",Settings!$B$4&gt;O133),"Acknowledgment overdue",""))))))))</f>
        <v/>
      </c>
    </row>
    <row r="134" ht="15.75" customHeight="1" s="31">
      <c r="A134" s="44" t="n"/>
      <c r="B134" s="45" t="n"/>
      <c r="C134" s="45" t="n"/>
      <c r="D134" s="44" t="n"/>
      <c r="E134" s="44" t="n"/>
      <c r="F134" s="44" t="n"/>
      <c r="G134" s="44" t="n"/>
      <c r="H134" s="44" t="n"/>
      <c r="I134" s="44" t="n"/>
      <c r="J134" s="44" t="n"/>
      <c r="K134" s="44" t="n"/>
      <c r="L134" s="41">
        <f>IF(B134="","",IF(OR(COUNTIF(Settings!$E$4:$E$9,D134)&gt;0,I134="Yes",J134="Yes",K134="Fair lending allegation"),"Escalated","Standard"))</f>
        <v/>
      </c>
      <c r="M134" s="45" t="n"/>
      <c r="N134" s="45" t="n"/>
      <c r="O134" s="42">
        <f>IF(B134="","",WORKDAY(B134,Settings!$B$7))</f>
        <v/>
      </c>
      <c r="P134" s="45" t="n"/>
      <c r="Q134" s="45" t="n"/>
      <c r="R134" s="42">
        <f>IF(B134="","",IF(Q134&lt;&gt;"",MIN(Q134,IF(L134="Escalated",B134+Settings!$B$9,WORKDAY(B134,Settings!$B$8))),IF(L134="Escalated",B134+Settings!$B$9,WORKDAY(B134,Settings!$B$8))))</f>
        <v/>
      </c>
      <c r="S134" s="45" t="n"/>
      <c r="T134" s="44" t="n"/>
      <c r="U134" s="46" t="n"/>
      <c r="V134" s="44" t="n"/>
      <c r="W134" s="44" t="n"/>
      <c r="X134" s="44" t="n"/>
      <c r="Y134" s="41">
        <f>IF(B134="","",IF(S134&lt;&gt;"",S134,Settings!$B$4)-B134)</f>
        <v/>
      </c>
      <c r="Z134" s="41">
        <f>IF(B134="","",IF(S134&lt;&gt;"",IF(S134&gt;R134,"Closed late","Closed on time"),IF(Settings!$B$4&gt;R134,"Open: overdue","Open")))</f>
        <v/>
      </c>
      <c r="AA134" s="41">
        <f>IF(B134="","",IF(NETWORKDAYS(B134,C134)-1&gt;Settings!$B$5,"Logged late",IF(AND(L134="Escalated",M134=""),"Escalate to Compliance",IF(AND(L134="Escalated",N134=""),"Notify Sponsor Bank",IF(AND(L134="Escalated",N134&lt;&gt;"",NETWORKDAYS(B134,N134)-1&gt;Settings!$B$10),"Sponsor Bank notified late",IF(AND(K134&lt;&gt;"",K134&lt;&gt;"None",Q134=""),"Enter the legal deadline",IF(AND(S134&lt;&gt;"",OR(T134="",V134="")),"Record outcome and root cause",IF(AND(P134="",S134="",Settings!$B$4&gt;O134),"Acknowledgment overdue",""))))))))</f>
        <v/>
      </c>
    </row>
    <row r="135" ht="15.75" customHeight="1" s="31">
      <c r="A135" s="44" t="n"/>
      <c r="B135" s="45" t="n"/>
      <c r="C135" s="45" t="n"/>
      <c r="D135" s="44" t="n"/>
      <c r="E135" s="44" t="n"/>
      <c r="F135" s="44" t="n"/>
      <c r="G135" s="44" t="n"/>
      <c r="H135" s="44" t="n"/>
      <c r="I135" s="44" t="n"/>
      <c r="J135" s="44" t="n"/>
      <c r="K135" s="44" t="n"/>
      <c r="L135" s="41">
        <f>IF(B135="","",IF(OR(COUNTIF(Settings!$E$4:$E$9,D135)&gt;0,I135="Yes",J135="Yes",K135="Fair lending allegation"),"Escalated","Standard"))</f>
        <v/>
      </c>
      <c r="M135" s="45" t="n"/>
      <c r="N135" s="45" t="n"/>
      <c r="O135" s="42">
        <f>IF(B135="","",WORKDAY(B135,Settings!$B$7))</f>
        <v/>
      </c>
      <c r="P135" s="45" t="n"/>
      <c r="Q135" s="45" t="n"/>
      <c r="R135" s="42">
        <f>IF(B135="","",IF(Q135&lt;&gt;"",MIN(Q135,IF(L135="Escalated",B135+Settings!$B$9,WORKDAY(B135,Settings!$B$8))),IF(L135="Escalated",B135+Settings!$B$9,WORKDAY(B135,Settings!$B$8))))</f>
        <v/>
      </c>
      <c r="S135" s="45" t="n"/>
      <c r="T135" s="44" t="n"/>
      <c r="U135" s="46" t="n"/>
      <c r="V135" s="44" t="n"/>
      <c r="W135" s="44" t="n"/>
      <c r="X135" s="44" t="n"/>
      <c r="Y135" s="41">
        <f>IF(B135="","",IF(S135&lt;&gt;"",S135,Settings!$B$4)-B135)</f>
        <v/>
      </c>
      <c r="Z135" s="41">
        <f>IF(B135="","",IF(S135&lt;&gt;"",IF(S135&gt;R135,"Closed late","Closed on time"),IF(Settings!$B$4&gt;R135,"Open: overdue","Open")))</f>
        <v/>
      </c>
      <c r="AA135" s="41">
        <f>IF(B135="","",IF(NETWORKDAYS(B135,C135)-1&gt;Settings!$B$5,"Logged late",IF(AND(L135="Escalated",M135=""),"Escalate to Compliance",IF(AND(L135="Escalated",N135=""),"Notify Sponsor Bank",IF(AND(L135="Escalated",N135&lt;&gt;"",NETWORKDAYS(B135,N135)-1&gt;Settings!$B$10),"Sponsor Bank notified late",IF(AND(K135&lt;&gt;"",K135&lt;&gt;"None",Q135=""),"Enter the legal deadline",IF(AND(S135&lt;&gt;"",OR(T135="",V135="")),"Record outcome and root cause",IF(AND(P135="",S135="",Settings!$B$4&gt;O135),"Acknowledgment overdue",""))))))))</f>
        <v/>
      </c>
    </row>
    <row r="136" ht="15.75" customHeight="1" s="31">
      <c r="A136" s="44" t="n"/>
      <c r="B136" s="45" t="n"/>
      <c r="C136" s="45" t="n"/>
      <c r="D136" s="44" t="n"/>
      <c r="E136" s="44" t="n"/>
      <c r="F136" s="44" t="n"/>
      <c r="G136" s="44" t="n"/>
      <c r="H136" s="44" t="n"/>
      <c r="I136" s="44" t="n"/>
      <c r="J136" s="44" t="n"/>
      <c r="K136" s="44" t="n"/>
      <c r="L136" s="41">
        <f>IF(B136="","",IF(OR(COUNTIF(Settings!$E$4:$E$9,D136)&gt;0,I136="Yes",J136="Yes",K136="Fair lending allegation"),"Escalated","Standard"))</f>
        <v/>
      </c>
      <c r="M136" s="45" t="n"/>
      <c r="N136" s="45" t="n"/>
      <c r="O136" s="42">
        <f>IF(B136="","",WORKDAY(B136,Settings!$B$7))</f>
        <v/>
      </c>
      <c r="P136" s="45" t="n"/>
      <c r="Q136" s="45" t="n"/>
      <c r="R136" s="42">
        <f>IF(B136="","",IF(Q136&lt;&gt;"",MIN(Q136,IF(L136="Escalated",B136+Settings!$B$9,WORKDAY(B136,Settings!$B$8))),IF(L136="Escalated",B136+Settings!$B$9,WORKDAY(B136,Settings!$B$8))))</f>
        <v/>
      </c>
      <c r="S136" s="45" t="n"/>
      <c r="T136" s="44" t="n"/>
      <c r="U136" s="46" t="n"/>
      <c r="V136" s="44" t="n"/>
      <c r="W136" s="44" t="n"/>
      <c r="X136" s="44" t="n"/>
      <c r="Y136" s="41">
        <f>IF(B136="","",IF(S136&lt;&gt;"",S136,Settings!$B$4)-B136)</f>
        <v/>
      </c>
      <c r="Z136" s="41">
        <f>IF(B136="","",IF(S136&lt;&gt;"",IF(S136&gt;R136,"Closed late","Closed on time"),IF(Settings!$B$4&gt;R136,"Open: overdue","Open")))</f>
        <v/>
      </c>
      <c r="AA136" s="41">
        <f>IF(B136="","",IF(NETWORKDAYS(B136,C136)-1&gt;Settings!$B$5,"Logged late",IF(AND(L136="Escalated",M136=""),"Escalate to Compliance",IF(AND(L136="Escalated",N136=""),"Notify Sponsor Bank",IF(AND(L136="Escalated",N136&lt;&gt;"",NETWORKDAYS(B136,N136)-1&gt;Settings!$B$10),"Sponsor Bank notified late",IF(AND(K136&lt;&gt;"",K136&lt;&gt;"None",Q136=""),"Enter the legal deadline",IF(AND(S136&lt;&gt;"",OR(T136="",V136="")),"Record outcome and root cause",IF(AND(P136="",S136="",Settings!$B$4&gt;O136),"Acknowledgment overdue",""))))))))</f>
        <v/>
      </c>
    </row>
    <row r="137" ht="15.75" customHeight="1" s="31">
      <c r="A137" s="44" t="n"/>
      <c r="B137" s="45" t="n"/>
      <c r="C137" s="45" t="n"/>
      <c r="D137" s="44" t="n"/>
      <c r="E137" s="44" t="n"/>
      <c r="F137" s="44" t="n"/>
      <c r="G137" s="44" t="n"/>
      <c r="H137" s="44" t="n"/>
      <c r="I137" s="44" t="n"/>
      <c r="J137" s="44" t="n"/>
      <c r="K137" s="44" t="n"/>
      <c r="L137" s="41">
        <f>IF(B137="","",IF(OR(COUNTIF(Settings!$E$4:$E$9,D137)&gt;0,I137="Yes",J137="Yes",K137="Fair lending allegation"),"Escalated","Standard"))</f>
        <v/>
      </c>
      <c r="M137" s="45" t="n"/>
      <c r="N137" s="45" t="n"/>
      <c r="O137" s="42">
        <f>IF(B137="","",WORKDAY(B137,Settings!$B$7))</f>
        <v/>
      </c>
      <c r="P137" s="45" t="n"/>
      <c r="Q137" s="45" t="n"/>
      <c r="R137" s="42">
        <f>IF(B137="","",IF(Q137&lt;&gt;"",MIN(Q137,IF(L137="Escalated",B137+Settings!$B$9,WORKDAY(B137,Settings!$B$8))),IF(L137="Escalated",B137+Settings!$B$9,WORKDAY(B137,Settings!$B$8))))</f>
        <v/>
      </c>
      <c r="S137" s="45" t="n"/>
      <c r="T137" s="44" t="n"/>
      <c r="U137" s="46" t="n"/>
      <c r="V137" s="44" t="n"/>
      <c r="W137" s="44" t="n"/>
      <c r="X137" s="44" t="n"/>
      <c r="Y137" s="41">
        <f>IF(B137="","",IF(S137&lt;&gt;"",S137,Settings!$B$4)-B137)</f>
        <v/>
      </c>
      <c r="Z137" s="41">
        <f>IF(B137="","",IF(S137&lt;&gt;"",IF(S137&gt;R137,"Closed late","Closed on time"),IF(Settings!$B$4&gt;R137,"Open: overdue","Open")))</f>
        <v/>
      </c>
      <c r="AA137" s="41">
        <f>IF(B137="","",IF(NETWORKDAYS(B137,C137)-1&gt;Settings!$B$5,"Logged late",IF(AND(L137="Escalated",M137=""),"Escalate to Compliance",IF(AND(L137="Escalated",N137=""),"Notify Sponsor Bank",IF(AND(L137="Escalated",N137&lt;&gt;"",NETWORKDAYS(B137,N137)-1&gt;Settings!$B$10),"Sponsor Bank notified late",IF(AND(K137&lt;&gt;"",K137&lt;&gt;"None",Q137=""),"Enter the legal deadline",IF(AND(S137&lt;&gt;"",OR(T137="",V137="")),"Record outcome and root cause",IF(AND(P137="",S137="",Settings!$B$4&gt;O137),"Acknowledgment overdue",""))))))))</f>
        <v/>
      </c>
    </row>
    <row r="138" ht="15.75" customHeight="1" s="31">
      <c r="A138" s="44" t="n"/>
      <c r="B138" s="45" t="n"/>
      <c r="C138" s="45" t="n"/>
      <c r="D138" s="44" t="n"/>
      <c r="E138" s="44" t="n"/>
      <c r="F138" s="44" t="n"/>
      <c r="G138" s="44" t="n"/>
      <c r="H138" s="44" t="n"/>
      <c r="I138" s="44" t="n"/>
      <c r="J138" s="44" t="n"/>
      <c r="K138" s="44" t="n"/>
      <c r="L138" s="41">
        <f>IF(B138="","",IF(OR(COUNTIF(Settings!$E$4:$E$9,D138)&gt;0,I138="Yes",J138="Yes",K138="Fair lending allegation"),"Escalated","Standard"))</f>
        <v/>
      </c>
      <c r="M138" s="45" t="n"/>
      <c r="N138" s="45" t="n"/>
      <c r="O138" s="42">
        <f>IF(B138="","",WORKDAY(B138,Settings!$B$7))</f>
        <v/>
      </c>
      <c r="P138" s="45" t="n"/>
      <c r="Q138" s="45" t="n"/>
      <c r="R138" s="42">
        <f>IF(B138="","",IF(Q138&lt;&gt;"",MIN(Q138,IF(L138="Escalated",B138+Settings!$B$9,WORKDAY(B138,Settings!$B$8))),IF(L138="Escalated",B138+Settings!$B$9,WORKDAY(B138,Settings!$B$8))))</f>
        <v/>
      </c>
      <c r="S138" s="45" t="n"/>
      <c r="T138" s="44" t="n"/>
      <c r="U138" s="46" t="n"/>
      <c r="V138" s="44" t="n"/>
      <c r="W138" s="44" t="n"/>
      <c r="X138" s="44" t="n"/>
      <c r="Y138" s="41">
        <f>IF(B138="","",IF(S138&lt;&gt;"",S138,Settings!$B$4)-B138)</f>
        <v/>
      </c>
      <c r="Z138" s="41">
        <f>IF(B138="","",IF(S138&lt;&gt;"",IF(S138&gt;R138,"Closed late","Closed on time"),IF(Settings!$B$4&gt;R138,"Open: overdue","Open")))</f>
        <v/>
      </c>
      <c r="AA138" s="41">
        <f>IF(B138="","",IF(NETWORKDAYS(B138,C138)-1&gt;Settings!$B$5,"Logged late",IF(AND(L138="Escalated",M138=""),"Escalate to Compliance",IF(AND(L138="Escalated",N138=""),"Notify Sponsor Bank",IF(AND(L138="Escalated",N138&lt;&gt;"",NETWORKDAYS(B138,N138)-1&gt;Settings!$B$10),"Sponsor Bank notified late",IF(AND(K138&lt;&gt;"",K138&lt;&gt;"None",Q138=""),"Enter the legal deadline",IF(AND(S138&lt;&gt;"",OR(T138="",V138="")),"Record outcome and root cause",IF(AND(P138="",S138="",Settings!$B$4&gt;O138),"Acknowledgment overdue",""))))))))</f>
        <v/>
      </c>
    </row>
    <row r="139" ht="15.75" customHeight="1" s="31">
      <c r="A139" s="44" t="n"/>
      <c r="B139" s="45" t="n"/>
      <c r="C139" s="45" t="n"/>
      <c r="D139" s="44" t="n"/>
      <c r="E139" s="44" t="n"/>
      <c r="F139" s="44" t="n"/>
      <c r="G139" s="44" t="n"/>
      <c r="H139" s="44" t="n"/>
      <c r="I139" s="44" t="n"/>
      <c r="J139" s="44" t="n"/>
      <c r="K139" s="44" t="n"/>
      <c r="L139" s="41">
        <f>IF(B139="","",IF(OR(COUNTIF(Settings!$E$4:$E$9,D139)&gt;0,I139="Yes",J139="Yes",K139="Fair lending allegation"),"Escalated","Standard"))</f>
        <v/>
      </c>
      <c r="M139" s="45" t="n"/>
      <c r="N139" s="45" t="n"/>
      <c r="O139" s="42">
        <f>IF(B139="","",WORKDAY(B139,Settings!$B$7))</f>
        <v/>
      </c>
      <c r="P139" s="45" t="n"/>
      <c r="Q139" s="45" t="n"/>
      <c r="R139" s="42">
        <f>IF(B139="","",IF(Q139&lt;&gt;"",MIN(Q139,IF(L139="Escalated",B139+Settings!$B$9,WORKDAY(B139,Settings!$B$8))),IF(L139="Escalated",B139+Settings!$B$9,WORKDAY(B139,Settings!$B$8))))</f>
        <v/>
      </c>
      <c r="S139" s="45" t="n"/>
      <c r="T139" s="44" t="n"/>
      <c r="U139" s="46" t="n"/>
      <c r="V139" s="44" t="n"/>
      <c r="W139" s="44" t="n"/>
      <c r="X139" s="44" t="n"/>
      <c r="Y139" s="41">
        <f>IF(B139="","",IF(S139&lt;&gt;"",S139,Settings!$B$4)-B139)</f>
        <v/>
      </c>
      <c r="Z139" s="41">
        <f>IF(B139="","",IF(S139&lt;&gt;"",IF(S139&gt;R139,"Closed late","Closed on time"),IF(Settings!$B$4&gt;R139,"Open: overdue","Open")))</f>
        <v/>
      </c>
      <c r="AA139" s="41">
        <f>IF(B139="","",IF(NETWORKDAYS(B139,C139)-1&gt;Settings!$B$5,"Logged late",IF(AND(L139="Escalated",M139=""),"Escalate to Compliance",IF(AND(L139="Escalated",N139=""),"Notify Sponsor Bank",IF(AND(L139="Escalated",N139&lt;&gt;"",NETWORKDAYS(B139,N139)-1&gt;Settings!$B$10),"Sponsor Bank notified late",IF(AND(K139&lt;&gt;"",K139&lt;&gt;"None",Q139=""),"Enter the legal deadline",IF(AND(S139&lt;&gt;"",OR(T139="",V139="")),"Record outcome and root cause",IF(AND(P139="",S139="",Settings!$B$4&gt;O139),"Acknowledgment overdue",""))))))))</f>
        <v/>
      </c>
    </row>
    <row r="140" ht="15.75" customHeight="1" s="31">
      <c r="A140" s="44" t="n"/>
      <c r="B140" s="45" t="n"/>
      <c r="C140" s="45" t="n"/>
      <c r="D140" s="44" t="n"/>
      <c r="E140" s="44" t="n"/>
      <c r="F140" s="44" t="n"/>
      <c r="G140" s="44" t="n"/>
      <c r="H140" s="44" t="n"/>
      <c r="I140" s="44" t="n"/>
      <c r="J140" s="44" t="n"/>
      <c r="K140" s="44" t="n"/>
      <c r="L140" s="41">
        <f>IF(B140="","",IF(OR(COUNTIF(Settings!$E$4:$E$9,D140)&gt;0,I140="Yes",J140="Yes",K140="Fair lending allegation"),"Escalated","Standard"))</f>
        <v/>
      </c>
      <c r="M140" s="45" t="n"/>
      <c r="N140" s="45" t="n"/>
      <c r="O140" s="42">
        <f>IF(B140="","",WORKDAY(B140,Settings!$B$7))</f>
        <v/>
      </c>
      <c r="P140" s="45" t="n"/>
      <c r="Q140" s="45" t="n"/>
      <c r="R140" s="42">
        <f>IF(B140="","",IF(Q140&lt;&gt;"",MIN(Q140,IF(L140="Escalated",B140+Settings!$B$9,WORKDAY(B140,Settings!$B$8))),IF(L140="Escalated",B140+Settings!$B$9,WORKDAY(B140,Settings!$B$8))))</f>
        <v/>
      </c>
      <c r="S140" s="45" t="n"/>
      <c r="T140" s="44" t="n"/>
      <c r="U140" s="46" t="n"/>
      <c r="V140" s="44" t="n"/>
      <c r="W140" s="44" t="n"/>
      <c r="X140" s="44" t="n"/>
      <c r="Y140" s="41">
        <f>IF(B140="","",IF(S140&lt;&gt;"",S140,Settings!$B$4)-B140)</f>
        <v/>
      </c>
      <c r="Z140" s="41">
        <f>IF(B140="","",IF(S140&lt;&gt;"",IF(S140&gt;R140,"Closed late","Closed on time"),IF(Settings!$B$4&gt;R140,"Open: overdue","Open")))</f>
        <v/>
      </c>
      <c r="AA140" s="41">
        <f>IF(B140="","",IF(NETWORKDAYS(B140,C140)-1&gt;Settings!$B$5,"Logged late",IF(AND(L140="Escalated",M140=""),"Escalate to Compliance",IF(AND(L140="Escalated",N140=""),"Notify Sponsor Bank",IF(AND(L140="Escalated",N140&lt;&gt;"",NETWORKDAYS(B140,N140)-1&gt;Settings!$B$10),"Sponsor Bank notified late",IF(AND(K140&lt;&gt;"",K140&lt;&gt;"None",Q140=""),"Enter the legal deadline",IF(AND(S140&lt;&gt;"",OR(T140="",V140="")),"Record outcome and root cause",IF(AND(P140="",S140="",Settings!$B$4&gt;O140),"Acknowledgment overdue",""))))))))</f>
        <v/>
      </c>
    </row>
    <row r="141" ht="15.75" customHeight="1" s="31">
      <c r="A141" s="44" t="n"/>
      <c r="B141" s="45" t="n"/>
      <c r="C141" s="45" t="n"/>
      <c r="D141" s="44" t="n"/>
      <c r="E141" s="44" t="n"/>
      <c r="F141" s="44" t="n"/>
      <c r="G141" s="44" t="n"/>
      <c r="H141" s="44" t="n"/>
      <c r="I141" s="44" t="n"/>
      <c r="J141" s="44" t="n"/>
      <c r="K141" s="44" t="n"/>
      <c r="L141" s="41">
        <f>IF(B141="","",IF(OR(COUNTIF(Settings!$E$4:$E$9,D141)&gt;0,I141="Yes",J141="Yes",K141="Fair lending allegation"),"Escalated","Standard"))</f>
        <v/>
      </c>
      <c r="M141" s="45" t="n"/>
      <c r="N141" s="45" t="n"/>
      <c r="O141" s="42">
        <f>IF(B141="","",WORKDAY(B141,Settings!$B$7))</f>
        <v/>
      </c>
      <c r="P141" s="45" t="n"/>
      <c r="Q141" s="45" t="n"/>
      <c r="R141" s="42">
        <f>IF(B141="","",IF(Q141&lt;&gt;"",MIN(Q141,IF(L141="Escalated",B141+Settings!$B$9,WORKDAY(B141,Settings!$B$8))),IF(L141="Escalated",B141+Settings!$B$9,WORKDAY(B141,Settings!$B$8))))</f>
        <v/>
      </c>
      <c r="S141" s="45" t="n"/>
      <c r="T141" s="44" t="n"/>
      <c r="U141" s="46" t="n"/>
      <c r="V141" s="44" t="n"/>
      <c r="W141" s="44" t="n"/>
      <c r="X141" s="44" t="n"/>
      <c r="Y141" s="41">
        <f>IF(B141="","",IF(S141&lt;&gt;"",S141,Settings!$B$4)-B141)</f>
        <v/>
      </c>
      <c r="Z141" s="41">
        <f>IF(B141="","",IF(S141&lt;&gt;"",IF(S141&gt;R141,"Closed late","Closed on time"),IF(Settings!$B$4&gt;R141,"Open: overdue","Open")))</f>
        <v/>
      </c>
      <c r="AA141" s="41">
        <f>IF(B141="","",IF(NETWORKDAYS(B141,C141)-1&gt;Settings!$B$5,"Logged late",IF(AND(L141="Escalated",M141=""),"Escalate to Compliance",IF(AND(L141="Escalated",N141=""),"Notify Sponsor Bank",IF(AND(L141="Escalated",N141&lt;&gt;"",NETWORKDAYS(B141,N141)-1&gt;Settings!$B$10),"Sponsor Bank notified late",IF(AND(K141&lt;&gt;"",K141&lt;&gt;"None",Q141=""),"Enter the legal deadline",IF(AND(S141&lt;&gt;"",OR(T141="",V141="")),"Record outcome and root cause",IF(AND(P141="",S141="",Settings!$B$4&gt;O141),"Acknowledgment overdue",""))))))))</f>
        <v/>
      </c>
    </row>
    <row r="142" ht="15.75" customHeight="1" s="31">
      <c r="A142" s="44" t="n"/>
      <c r="B142" s="45" t="n"/>
      <c r="C142" s="45" t="n"/>
      <c r="D142" s="44" t="n"/>
      <c r="E142" s="44" t="n"/>
      <c r="F142" s="44" t="n"/>
      <c r="G142" s="44" t="n"/>
      <c r="H142" s="44" t="n"/>
      <c r="I142" s="44" t="n"/>
      <c r="J142" s="44" t="n"/>
      <c r="K142" s="44" t="n"/>
      <c r="L142" s="41">
        <f>IF(B142="","",IF(OR(COUNTIF(Settings!$E$4:$E$9,D142)&gt;0,I142="Yes",J142="Yes",K142="Fair lending allegation"),"Escalated","Standard"))</f>
        <v/>
      </c>
      <c r="M142" s="45" t="n"/>
      <c r="N142" s="45" t="n"/>
      <c r="O142" s="42">
        <f>IF(B142="","",WORKDAY(B142,Settings!$B$7))</f>
        <v/>
      </c>
      <c r="P142" s="45" t="n"/>
      <c r="Q142" s="45" t="n"/>
      <c r="R142" s="42">
        <f>IF(B142="","",IF(Q142&lt;&gt;"",MIN(Q142,IF(L142="Escalated",B142+Settings!$B$9,WORKDAY(B142,Settings!$B$8))),IF(L142="Escalated",B142+Settings!$B$9,WORKDAY(B142,Settings!$B$8))))</f>
        <v/>
      </c>
      <c r="S142" s="45" t="n"/>
      <c r="T142" s="44" t="n"/>
      <c r="U142" s="46" t="n"/>
      <c r="V142" s="44" t="n"/>
      <c r="W142" s="44" t="n"/>
      <c r="X142" s="44" t="n"/>
      <c r="Y142" s="41">
        <f>IF(B142="","",IF(S142&lt;&gt;"",S142,Settings!$B$4)-B142)</f>
        <v/>
      </c>
      <c r="Z142" s="41">
        <f>IF(B142="","",IF(S142&lt;&gt;"",IF(S142&gt;R142,"Closed late","Closed on time"),IF(Settings!$B$4&gt;R142,"Open: overdue","Open")))</f>
        <v/>
      </c>
      <c r="AA142" s="41">
        <f>IF(B142="","",IF(NETWORKDAYS(B142,C142)-1&gt;Settings!$B$5,"Logged late",IF(AND(L142="Escalated",M142=""),"Escalate to Compliance",IF(AND(L142="Escalated",N142=""),"Notify Sponsor Bank",IF(AND(L142="Escalated",N142&lt;&gt;"",NETWORKDAYS(B142,N142)-1&gt;Settings!$B$10),"Sponsor Bank notified late",IF(AND(K142&lt;&gt;"",K142&lt;&gt;"None",Q142=""),"Enter the legal deadline",IF(AND(S142&lt;&gt;"",OR(T142="",V142="")),"Record outcome and root cause",IF(AND(P142="",S142="",Settings!$B$4&gt;O142),"Acknowledgment overdue",""))))))))</f>
        <v/>
      </c>
    </row>
    <row r="143" ht="15.75" customHeight="1" s="31">
      <c r="A143" s="44" t="n"/>
      <c r="B143" s="45" t="n"/>
      <c r="C143" s="45" t="n"/>
      <c r="D143" s="44" t="n"/>
      <c r="E143" s="44" t="n"/>
      <c r="F143" s="44" t="n"/>
      <c r="G143" s="44" t="n"/>
      <c r="H143" s="44" t="n"/>
      <c r="I143" s="44" t="n"/>
      <c r="J143" s="44" t="n"/>
      <c r="K143" s="44" t="n"/>
      <c r="L143" s="41">
        <f>IF(B143="","",IF(OR(COUNTIF(Settings!$E$4:$E$9,D143)&gt;0,I143="Yes",J143="Yes",K143="Fair lending allegation"),"Escalated","Standard"))</f>
        <v/>
      </c>
      <c r="M143" s="45" t="n"/>
      <c r="N143" s="45" t="n"/>
      <c r="O143" s="42">
        <f>IF(B143="","",WORKDAY(B143,Settings!$B$7))</f>
        <v/>
      </c>
      <c r="P143" s="45" t="n"/>
      <c r="Q143" s="45" t="n"/>
      <c r="R143" s="42">
        <f>IF(B143="","",IF(Q143&lt;&gt;"",MIN(Q143,IF(L143="Escalated",B143+Settings!$B$9,WORKDAY(B143,Settings!$B$8))),IF(L143="Escalated",B143+Settings!$B$9,WORKDAY(B143,Settings!$B$8))))</f>
        <v/>
      </c>
      <c r="S143" s="45" t="n"/>
      <c r="T143" s="44" t="n"/>
      <c r="U143" s="46" t="n"/>
      <c r="V143" s="44" t="n"/>
      <c r="W143" s="44" t="n"/>
      <c r="X143" s="44" t="n"/>
      <c r="Y143" s="41">
        <f>IF(B143="","",IF(S143&lt;&gt;"",S143,Settings!$B$4)-B143)</f>
        <v/>
      </c>
      <c r="Z143" s="41">
        <f>IF(B143="","",IF(S143&lt;&gt;"",IF(S143&gt;R143,"Closed late","Closed on time"),IF(Settings!$B$4&gt;R143,"Open: overdue","Open")))</f>
        <v/>
      </c>
      <c r="AA143" s="41">
        <f>IF(B143="","",IF(NETWORKDAYS(B143,C143)-1&gt;Settings!$B$5,"Logged late",IF(AND(L143="Escalated",M143=""),"Escalate to Compliance",IF(AND(L143="Escalated",N143=""),"Notify Sponsor Bank",IF(AND(L143="Escalated",N143&lt;&gt;"",NETWORKDAYS(B143,N143)-1&gt;Settings!$B$10),"Sponsor Bank notified late",IF(AND(K143&lt;&gt;"",K143&lt;&gt;"None",Q143=""),"Enter the legal deadline",IF(AND(S143&lt;&gt;"",OR(T143="",V143="")),"Record outcome and root cause",IF(AND(P143="",S143="",Settings!$B$4&gt;O143),"Acknowledgment overdue",""))))))))</f>
        <v/>
      </c>
    </row>
    <row r="144" ht="15.75" customHeight="1" s="31">
      <c r="A144" s="44" t="n"/>
      <c r="B144" s="45" t="n"/>
      <c r="C144" s="45" t="n"/>
      <c r="D144" s="44" t="n"/>
      <c r="E144" s="44" t="n"/>
      <c r="F144" s="44" t="n"/>
      <c r="G144" s="44" t="n"/>
      <c r="H144" s="44" t="n"/>
      <c r="I144" s="44" t="n"/>
      <c r="J144" s="44" t="n"/>
      <c r="K144" s="44" t="n"/>
      <c r="L144" s="41">
        <f>IF(B144="","",IF(OR(COUNTIF(Settings!$E$4:$E$9,D144)&gt;0,I144="Yes",J144="Yes",K144="Fair lending allegation"),"Escalated","Standard"))</f>
        <v/>
      </c>
      <c r="M144" s="45" t="n"/>
      <c r="N144" s="45" t="n"/>
      <c r="O144" s="42">
        <f>IF(B144="","",WORKDAY(B144,Settings!$B$7))</f>
        <v/>
      </c>
      <c r="P144" s="45" t="n"/>
      <c r="Q144" s="45" t="n"/>
      <c r="R144" s="42">
        <f>IF(B144="","",IF(Q144&lt;&gt;"",MIN(Q144,IF(L144="Escalated",B144+Settings!$B$9,WORKDAY(B144,Settings!$B$8))),IF(L144="Escalated",B144+Settings!$B$9,WORKDAY(B144,Settings!$B$8))))</f>
        <v/>
      </c>
      <c r="S144" s="45" t="n"/>
      <c r="T144" s="44" t="n"/>
      <c r="U144" s="46" t="n"/>
      <c r="V144" s="44" t="n"/>
      <c r="W144" s="44" t="n"/>
      <c r="X144" s="44" t="n"/>
      <c r="Y144" s="41">
        <f>IF(B144="","",IF(S144&lt;&gt;"",S144,Settings!$B$4)-B144)</f>
        <v/>
      </c>
      <c r="Z144" s="41">
        <f>IF(B144="","",IF(S144&lt;&gt;"",IF(S144&gt;R144,"Closed late","Closed on time"),IF(Settings!$B$4&gt;R144,"Open: overdue","Open")))</f>
        <v/>
      </c>
      <c r="AA144" s="41">
        <f>IF(B144="","",IF(NETWORKDAYS(B144,C144)-1&gt;Settings!$B$5,"Logged late",IF(AND(L144="Escalated",M144=""),"Escalate to Compliance",IF(AND(L144="Escalated",N144=""),"Notify Sponsor Bank",IF(AND(L144="Escalated",N144&lt;&gt;"",NETWORKDAYS(B144,N144)-1&gt;Settings!$B$10),"Sponsor Bank notified late",IF(AND(K144&lt;&gt;"",K144&lt;&gt;"None",Q144=""),"Enter the legal deadline",IF(AND(S144&lt;&gt;"",OR(T144="",V144="")),"Record outcome and root cause",IF(AND(P144="",S144="",Settings!$B$4&gt;O144),"Acknowledgment overdue",""))))))))</f>
        <v/>
      </c>
    </row>
    <row r="145" ht="15.75" customHeight="1" s="31">
      <c r="A145" s="44" t="n"/>
      <c r="B145" s="45" t="n"/>
      <c r="C145" s="45" t="n"/>
      <c r="D145" s="44" t="n"/>
      <c r="E145" s="44" t="n"/>
      <c r="F145" s="44" t="n"/>
      <c r="G145" s="44" t="n"/>
      <c r="H145" s="44" t="n"/>
      <c r="I145" s="44" t="n"/>
      <c r="J145" s="44" t="n"/>
      <c r="K145" s="44" t="n"/>
      <c r="L145" s="41">
        <f>IF(B145="","",IF(OR(COUNTIF(Settings!$E$4:$E$9,D145)&gt;0,I145="Yes",J145="Yes",K145="Fair lending allegation"),"Escalated","Standard"))</f>
        <v/>
      </c>
      <c r="M145" s="45" t="n"/>
      <c r="N145" s="45" t="n"/>
      <c r="O145" s="42">
        <f>IF(B145="","",WORKDAY(B145,Settings!$B$7))</f>
        <v/>
      </c>
      <c r="P145" s="45" t="n"/>
      <c r="Q145" s="45" t="n"/>
      <c r="R145" s="42">
        <f>IF(B145="","",IF(Q145&lt;&gt;"",MIN(Q145,IF(L145="Escalated",B145+Settings!$B$9,WORKDAY(B145,Settings!$B$8))),IF(L145="Escalated",B145+Settings!$B$9,WORKDAY(B145,Settings!$B$8))))</f>
        <v/>
      </c>
      <c r="S145" s="45" t="n"/>
      <c r="T145" s="44" t="n"/>
      <c r="U145" s="46" t="n"/>
      <c r="V145" s="44" t="n"/>
      <c r="W145" s="44" t="n"/>
      <c r="X145" s="44" t="n"/>
      <c r="Y145" s="41">
        <f>IF(B145="","",IF(S145&lt;&gt;"",S145,Settings!$B$4)-B145)</f>
        <v/>
      </c>
      <c r="Z145" s="41">
        <f>IF(B145="","",IF(S145&lt;&gt;"",IF(S145&gt;R145,"Closed late","Closed on time"),IF(Settings!$B$4&gt;R145,"Open: overdue","Open")))</f>
        <v/>
      </c>
      <c r="AA145" s="41">
        <f>IF(B145="","",IF(NETWORKDAYS(B145,C145)-1&gt;Settings!$B$5,"Logged late",IF(AND(L145="Escalated",M145=""),"Escalate to Compliance",IF(AND(L145="Escalated",N145=""),"Notify Sponsor Bank",IF(AND(L145="Escalated",N145&lt;&gt;"",NETWORKDAYS(B145,N145)-1&gt;Settings!$B$10),"Sponsor Bank notified late",IF(AND(K145&lt;&gt;"",K145&lt;&gt;"None",Q145=""),"Enter the legal deadline",IF(AND(S145&lt;&gt;"",OR(T145="",V145="")),"Record outcome and root cause",IF(AND(P145="",S145="",Settings!$B$4&gt;O145),"Acknowledgment overdue",""))))))))</f>
        <v/>
      </c>
    </row>
    <row r="146" ht="15.75" customHeight="1" s="31">
      <c r="A146" s="44" t="n"/>
      <c r="B146" s="45" t="n"/>
      <c r="C146" s="45" t="n"/>
      <c r="D146" s="44" t="n"/>
      <c r="E146" s="44" t="n"/>
      <c r="F146" s="44" t="n"/>
      <c r="G146" s="44" t="n"/>
      <c r="H146" s="44" t="n"/>
      <c r="I146" s="44" t="n"/>
      <c r="J146" s="44" t="n"/>
      <c r="K146" s="44" t="n"/>
      <c r="L146" s="41">
        <f>IF(B146="","",IF(OR(COUNTIF(Settings!$E$4:$E$9,D146)&gt;0,I146="Yes",J146="Yes",K146="Fair lending allegation"),"Escalated","Standard"))</f>
        <v/>
      </c>
      <c r="M146" s="45" t="n"/>
      <c r="N146" s="45" t="n"/>
      <c r="O146" s="42">
        <f>IF(B146="","",WORKDAY(B146,Settings!$B$7))</f>
        <v/>
      </c>
      <c r="P146" s="45" t="n"/>
      <c r="Q146" s="45" t="n"/>
      <c r="R146" s="42">
        <f>IF(B146="","",IF(Q146&lt;&gt;"",MIN(Q146,IF(L146="Escalated",B146+Settings!$B$9,WORKDAY(B146,Settings!$B$8))),IF(L146="Escalated",B146+Settings!$B$9,WORKDAY(B146,Settings!$B$8))))</f>
        <v/>
      </c>
      <c r="S146" s="45" t="n"/>
      <c r="T146" s="44" t="n"/>
      <c r="U146" s="46" t="n"/>
      <c r="V146" s="44" t="n"/>
      <c r="W146" s="44" t="n"/>
      <c r="X146" s="44" t="n"/>
      <c r="Y146" s="41">
        <f>IF(B146="","",IF(S146&lt;&gt;"",S146,Settings!$B$4)-B146)</f>
        <v/>
      </c>
      <c r="Z146" s="41">
        <f>IF(B146="","",IF(S146&lt;&gt;"",IF(S146&gt;R146,"Closed late","Closed on time"),IF(Settings!$B$4&gt;R146,"Open: overdue","Open")))</f>
        <v/>
      </c>
      <c r="AA146" s="41">
        <f>IF(B146="","",IF(NETWORKDAYS(B146,C146)-1&gt;Settings!$B$5,"Logged late",IF(AND(L146="Escalated",M146=""),"Escalate to Compliance",IF(AND(L146="Escalated",N146=""),"Notify Sponsor Bank",IF(AND(L146="Escalated",N146&lt;&gt;"",NETWORKDAYS(B146,N146)-1&gt;Settings!$B$10),"Sponsor Bank notified late",IF(AND(K146&lt;&gt;"",K146&lt;&gt;"None",Q146=""),"Enter the legal deadline",IF(AND(S146&lt;&gt;"",OR(T146="",V146="")),"Record outcome and root cause",IF(AND(P146="",S146="",Settings!$B$4&gt;O146),"Acknowledgment overdue",""))))))))</f>
        <v/>
      </c>
    </row>
    <row r="147" ht="15.75" customHeight="1" s="31">
      <c r="A147" s="44" t="n"/>
      <c r="B147" s="45" t="n"/>
      <c r="C147" s="45" t="n"/>
      <c r="D147" s="44" t="n"/>
      <c r="E147" s="44" t="n"/>
      <c r="F147" s="44" t="n"/>
      <c r="G147" s="44" t="n"/>
      <c r="H147" s="44" t="n"/>
      <c r="I147" s="44" t="n"/>
      <c r="J147" s="44" t="n"/>
      <c r="K147" s="44" t="n"/>
      <c r="L147" s="41">
        <f>IF(B147="","",IF(OR(COUNTIF(Settings!$E$4:$E$9,D147)&gt;0,I147="Yes",J147="Yes",K147="Fair lending allegation"),"Escalated","Standard"))</f>
        <v/>
      </c>
      <c r="M147" s="45" t="n"/>
      <c r="N147" s="45" t="n"/>
      <c r="O147" s="42">
        <f>IF(B147="","",WORKDAY(B147,Settings!$B$7))</f>
        <v/>
      </c>
      <c r="P147" s="45" t="n"/>
      <c r="Q147" s="45" t="n"/>
      <c r="R147" s="42">
        <f>IF(B147="","",IF(Q147&lt;&gt;"",MIN(Q147,IF(L147="Escalated",B147+Settings!$B$9,WORKDAY(B147,Settings!$B$8))),IF(L147="Escalated",B147+Settings!$B$9,WORKDAY(B147,Settings!$B$8))))</f>
        <v/>
      </c>
      <c r="S147" s="45" t="n"/>
      <c r="T147" s="44" t="n"/>
      <c r="U147" s="46" t="n"/>
      <c r="V147" s="44" t="n"/>
      <c r="W147" s="44" t="n"/>
      <c r="X147" s="44" t="n"/>
      <c r="Y147" s="41">
        <f>IF(B147="","",IF(S147&lt;&gt;"",S147,Settings!$B$4)-B147)</f>
        <v/>
      </c>
      <c r="Z147" s="41">
        <f>IF(B147="","",IF(S147&lt;&gt;"",IF(S147&gt;R147,"Closed late","Closed on time"),IF(Settings!$B$4&gt;R147,"Open: overdue","Open")))</f>
        <v/>
      </c>
      <c r="AA147" s="41">
        <f>IF(B147="","",IF(NETWORKDAYS(B147,C147)-1&gt;Settings!$B$5,"Logged late",IF(AND(L147="Escalated",M147=""),"Escalate to Compliance",IF(AND(L147="Escalated",N147=""),"Notify Sponsor Bank",IF(AND(L147="Escalated",N147&lt;&gt;"",NETWORKDAYS(B147,N147)-1&gt;Settings!$B$10),"Sponsor Bank notified late",IF(AND(K147&lt;&gt;"",K147&lt;&gt;"None",Q147=""),"Enter the legal deadline",IF(AND(S147&lt;&gt;"",OR(T147="",V147="")),"Record outcome and root cause",IF(AND(P147="",S147="",Settings!$B$4&gt;O147),"Acknowledgment overdue",""))))))))</f>
        <v/>
      </c>
    </row>
    <row r="148" ht="15.75" customHeight="1" s="31">
      <c r="A148" s="44" t="n"/>
      <c r="B148" s="45" t="n"/>
      <c r="C148" s="45" t="n"/>
      <c r="D148" s="44" t="n"/>
      <c r="E148" s="44" t="n"/>
      <c r="F148" s="44" t="n"/>
      <c r="G148" s="44" t="n"/>
      <c r="H148" s="44" t="n"/>
      <c r="I148" s="44" t="n"/>
      <c r="J148" s="44" t="n"/>
      <c r="K148" s="44" t="n"/>
      <c r="L148" s="41">
        <f>IF(B148="","",IF(OR(COUNTIF(Settings!$E$4:$E$9,D148)&gt;0,I148="Yes",J148="Yes",K148="Fair lending allegation"),"Escalated","Standard"))</f>
        <v/>
      </c>
      <c r="M148" s="45" t="n"/>
      <c r="N148" s="45" t="n"/>
      <c r="O148" s="42">
        <f>IF(B148="","",WORKDAY(B148,Settings!$B$7))</f>
        <v/>
      </c>
      <c r="P148" s="45" t="n"/>
      <c r="Q148" s="45" t="n"/>
      <c r="R148" s="42">
        <f>IF(B148="","",IF(Q148&lt;&gt;"",MIN(Q148,IF(L148="Escalated",B148+Settings!$B$9,WORKDAY(B148,Settings!$B$8))),IF(L148="Escalated",B148+Settings!$B$9,WORKDAY(B148,Settings!$B$8))))</f>
        <v/>
      </c>
      <c r="S148" s="45" t="n"/>
      <c r="T148" s="44" t="n"/>
      <c r="U148" s="46" t="n"/>
      <c r="V148" s="44" t="n"/>
      <c r="W148" s="44" t="n"/>
      <c r="X148" s="44" t="n"/>
      <c r="Y148" s="41">
        <f>IF(B148="","",IF(S148&lt;&gt;"",S148,Settings!$B$4)-B148)</f>
        <v/>
      </c>
      <c r="Z148" s="41">
        <f>IF(B148="","",IF(S148&lt;&gt;"",IF(S148&gt;R148,"Closed late","Closed on time"),IF(Settings!$B$4&gt;R148,"Open: overdue","Open")))</f>
        <v/>
      </c>
      <c r="AA148" s="41">
        <f>IF(B148="","",IF(NETWORKDAYS(B148,C148)-1&gt;Settings!$B$5,"Logged late",IF(AND(L148="Escalated",M148=""),"Escalate to Compliance",IF(AND(L148="Escalated",N148=""),"Notify Sponsor Bank",IF(AND(L148="Escalated",N148&lt;&gt;"",NETWORKDAYS(B148,N148)-1&gt;Settings!$B$10),"Sponsor Bank notified late",IF(AND(K148&lt;&gt;"",K148&lt;&gt;"None",Q148=""),"Enter the legal deadline",IF(AND(S148&lt;&gt;"",OR(T148="",V148="")),"Record outcome and root cause",IF(AND(P148="",S148="",Settings!$B$4&gt;O148),"Acknowledgment overdue",""))))))))</f>
        <v/>
      </c>
    </row>
    <row r="149" ht="15.75" customHeight="1" s="31">
      <c r="A149" s="44" t="n"/>
      <c r="B149" s="45" t="n"/>
      <c r="C149" s="45" t="n"/>
      <c r="D149" s="44" t="n"/>
      <c r="E149" s="44" t="n"/>
      <c r="F149" s="44" t="n"/>
      <c r="G149" s="44" t="n"/>
      <c r="H149" s="44" t="n"/>
      <c r="I149" s="44" t="n"/>
      <c r="J149" s="44" t="n"/>
      <c r="K149" s="44" t="n"/>
      <c r="L149" s="41">
        <f>IF(B149="","",IF(OR(COUNTIF(Settings!$E$4:$E$9,D149)&gt;0,I149="Yes",J149="Yes",K149="Fair lending allegation"),"Escalated","Standard"))</f>
        <v/>
      </c>
      <c r="M149" s="45" t="n"/>
      <c r="N149" s="45" t="n"/>
      <c r="O149" s="42">
        <f>IF(B149="","",WORKDAY(B149,Settings!$B$7))</f>
        <v/>
      </c>
      <c r="P149" s="45" t="n"/>
      <c r="Q149" s="45" t="n"/>
      <c r="R149" s="42">
        <f>IF(B149="","",IF(Q149&lt;&gt;"",MIN(Q149,IF(L149="Escalated",B149+Settings!$B$9,WORKDAY(B149,Settings!$B$8))),IF(L149="Escalated",B149+Settings!$B$9,WORKDAY(B149,Settings!$B$8))))</f>
        <v/>
      </c>
      <c r="S149" s="45" t="n"/>
      <c r="T149" s="44" t="n"/>
      <c r="U149" s="46" t="n"/>
      <c r="V149" s="44" t="n"/>
      <c r="W149" s="44" t="n"/>
      <c r="X149" s="44" t="n"/>
      <c r="Y149" s="41">
        <f>IF(B149="","",IF(S149&lt;&gt;"",S149,Settings!$B$4)-B149)</f>
        <v/>
      </c>
      <c r="Z149" s="41">
        <f>IF(B149="","",IF(S149&lt;&gt;"",IF(S149&gt;R149,"Closed late","Closed on time"),IF(Settings!$B$4&gt;R149,"Open: overdue","Open")))</f>
        <v/>
      </c>
      <c r="AA149" s="41">
        <f>IF(B149="","",IF(NETWORKDAYS(B149,C149)-1&gt;Settings!$B$5,"Logged late",IF(AND(L149="Escalated",M149=""),"Escalate to Compliance",IF(AND(L149="Escalated",N149=""),"Notify Sponsor Bank",IF(AND(L149="Escalated",N149&lt;&gt;"",NETWORKDAYS(B149,N149)-1&gt;Settings!$B$10),"Sponsor Bank notified late",IF(AND(K149&lt;&gt;"",K149&lt;&gt;"None",Q149=""),"Enter the legal deadline",IF(AND(S149&lt;&gt;"",OR(T149="",V149="")),"Record outcome and root cause",IF(AND(P149="",S149="",Settings!$B$4&gt;O149),"Acknowledgment overdue",""))))))))</f>
        <v/>
      </c>
    </row>
    <row r="150" ht="15.75" customHeight="1" s="31">
      <c r="A150" s="44" t="n"/>
      <c r="B150" s="45" t="n"/>
      <c r="C150" s="45" t="n"/>
      <c r="D150" s="44" t="n"/>
      <c r="E150" s="44" t="n"/>
      <c r="F150" s="44" t="n"/>
      <c r="G150" s="44" t="n"/>
      <c r="H150" s="44" t="n"/>
      <c r="I150" s="44" t="n"/>
      <c r="J150" s="44" t="n"/>
      <c r="K150" s="44" t="n"/>
      <c r="L150" s="41">
        <f>IF(B150="","",IF(OR(COUNTIF(Settings!$E$4:$E$9,D150)&gt;0,I150="Yes",J150="Yes",K150="Fair lending allegation"),"Escalated","Standard"))</f>
        <v/>
      </c>
      <c r="M150" s="45" t="n"/>
      <c r="N150" s="45" t="n"/>
      <c r="O150" s="42">
        <f>IF(B150="","",WORKDAY(B150,Settings!$B$7))</f>
        <v/>
      </c>
      <c r="P150" s="45" t="n"/>
      <c r="Q150" s="45" t="n"/>
      <c r="R150" s="42">
        <f>IF(B150="","",IF(Q150&lt;&gt;"",MIN(Q150,IF(L150="Escalated",B150+Settings!$B$9,WORKDAY(B150,Settings!$B$8))),IF(L150="Escalated",B150+Settings!$B$9,WORKDAY(B150,Settings!$B$8))))</f>
        <v/>
      </c>
      <c r="S150" s="45" t="n"/>
      <c r="T150" s="44" t="n"/>
      <c r="U150" s="46" t="n"/>
      <c r="V150" s="44" t="n"/>
      <c r="W150" s="44" t="n"/>
      <c r="X150" s="44" t="n"/>
      <c r="Y150" s="41">
        <f>IF(B150="","",IF(S150&lt;&gt;"",S150,Settings!$B$4)-B150)</f>
        <v/>
      </c>
      <c r="Z150" s="41">
        <f>IF(B150="","",IF(S150&lt;&gt;"",IF(S150&gt;R150,"Closed late","Closed on time"),IF(Settings!$B$4&gt;R150,"Open: overdue","Open")))</f>
        <v/>
      </c>
      <c r="AA150" s="41">
        <f>IF(B150="","",IF(NETWORKDAYS(B150,C150)-1&gt;Settings!$B$5,"Logged late",IF(AND(L150="Escalated",M150=""),"Escalate to Compliance",IF(AND(L150="Escalated",N150=""),"Notify Sponsor Bank",IF(AND(L150="Escalated",N150&lt;&gt;"",NETWORKDAYS(B150,N150)-1&gt;Settings!$B$10),"Sponsor Bank notified late",IF(AND(K150&lt;&gt;"",K150&lt;&gt;"None",Q150=""),"Enter the legal deadline",IF(AND(S150&lt;&gt;"",OR(T150="",V150="")),"Record outcome and root cause",IF(AND(P150="",S150="",Settings!$B$4&gt;O150),"Acknowledgment overdue",""))))))))</f>
        <v/>
      </c>
    </row>
    <row r="151" ht="15.75" customHeight="1" s="31">
      <c r="A151" s="44" t="n"/>
      <c r="B151" s="45" t="n"/>
      <c r="C151" s="45" t="n"/>
      <c r="D151" s="44" t="n"/>
      <c r="E151" s="44" t="n"/>
      <c r="F151" s="44" t="n"/>
      <c r="G151" s="44" t="n"/>
      <c r="H151" s="44" t="n"/>
      <c r="I151" s="44" t="n"/>
      <c r="J151" s="44" t="n"/>
      <c r="K151" s="44" t="n"/>
      <c r="L151" s="41">
        <f>IF(B151="","",IF(OR(COUNTIF(Settings!$E$4:$E$9,D151)&gt;0,I151="Yes",J151="Yes",K151="Fair lending allegation"),"Escalated","Standard"))</f>
        <v/>
      </c>
      <c r="M151" s="45" t="n"/>
      <c r="N151" s="45" t="n"/>
      <c r="O151" s="42">
        <f>IF(B151="","",WORKDAY(B151,Settings!$B$7))</f>
        <v/>
      </c>
      <c r="P151" s="45" t="n"/>
      <c r="Q151" s="45" t="n"/>
      <c r="R151" s="42">
        <f>IF(B151="","",IF(Q151&lt;&gt;"",MIN(Q151,IF(L151="Escalated",B151+Settings!$B$9,WORKDAY(B151,Settings!$B$8))),IF(L151="Escalated",B151+Settings!$B$9,WORKDAY(B151,Settings!$B$8))))</f>
        <v/>
      </c>
      <c r="S151" s="45" t="n"/>
      <c r="T151" s="44" t="n"/>
      <c r="U151" s="46" t="n"/>
      <c r="V151" s="44" t="n"/>
      <c r="W151" s="44" t="n"/>
      <c r="X151" s="44" t="n"/>
      <c r="Y151" s="41">
        <f>IF(B151="","",IF(S151&lt;&gt;"",S151,Settings!$B$4)-B151)</f>
        <v/>
      </c>
      <c r="Z151" s="41">
        <f>IF(B151="","",IF(S151&lt;&gt;"",IF(S151&gt;R151,"Closed late","Closed on time"),IF(Settings!$B$4&gt;R151,"Open: overdue","Open")))</f>
        <v/>
      </c>
      <c r="AA151" s="41">
        <f>IF(B151="","",IF(NETWORKDAYS(B151,C151)-1&gt;Settings!$B$5,"Logged late",IF(AND(L151="Escalated",M151=""),"Escalate to Compliance",IF(AND(L151="Escalated",N151=""),"Notify Sponsor Bank",IF(AND(L151="Escalated",N151&lt;&gt;"",NETWORKDAYS(B151,N151)-1&gt;Settings!$B$10),"Sponsor Bank notified late",IF(AND(K151&lt;&gt;"",K151&lt;&gt;"None",Q151=""),"Enter the legal deadline",IF(AND(S151&lt;&gt;"",OR(T151="",V151="")),"Record outcome and root cause",IF(AND(P151="",S151="",Settings!$B$4&gt;O151),"Acknowledgment overdue",""))))))))</f>
        <v/>
      </c>
    </row>
    <row r="152" ht="15.75" customHeight="1" s="31">
      <c r="A152" s="44" t="n"/>
      <c r="B152" s="45" t="n"/>
      <c r="C152" s="45" t="n"/>
      <c r="D152" s="44" t="n"/>
      <c r="E152" s="44" t="n"/>
      <c r="F152" s="44" t="n"/>
      <c r="G152" s="44" t="n"/>
      <c r="H152" s="44" t="n"/>
      <c r="I152" s="44" t="n"/>
      <c r="J152" s="44" t="n"/>
      <c r="K152" s="44" t="n"/>
      <c r="L152" s="41">
        <f>IF(B152="","",IF(OR(COUNTIF(Settings!$E$4:$E$9,D152)&gt;0,I152="Yes",J152="Yes",K152="Fair lending allegation"),"Escalated","Standard"))</f>
        <v/>
      </c>
      <c r="M152" s="45" t="n"/>
      <c r="N152" s="45" t="n"/>
      <c r="O152" s="42">
        <f>IF(B152="","",WORKDAY(B152,Settings!$B$7))</f>
        <v/>
      </c>
      <c r="P152" s="45" t="n"/>
      <c r="Q152" s="45" t="n"/>
      <c r="R152" s="42">
        <f>IF(B152="","",IF(Q152&lt;&gt;"",MIN(Q152,IF(L152="Escalated",B152+Settings!$B$9,WORKDAY(B152,Settings!$B$8))),IF(L152="Escalated",B152+Settings!$B$9,WORKDAY(B152,Settings!$B$8))))</f>
        <v/>
      </c>
      <c r="S152" s="45" t="n"/>
      <c r="T152" s="44" t="n"/>
      <c r="U152" s="46" t="n"/>
      <c r="V152" s="44" t="n"/>
      <c r="W152" s="44" t="n"/>
      <c r="X152" s="44" t="n"/>
      <c r="Y152" s="41">
        <f>IF(B152="","",IF(S152&lt;&gt;"",S152,Settings!$B$4)-B152)</f>
        <v/>
      </c>
      <c r="Z152" s="41">
        <f>IF(B152="","",IF(S152&lt;&gt;"",IF(S152&gt;R152,"Closed late","Closed on time"),IF(Settings!$B$4&gt;R152,"Open: overdue","Open")))</f>
        <v/>
      </c>
      <c r="AA152" s="41">
        <f>IF(B152="","",IF(NETWORKDAYS(B152,C152)-1&gt;Settings!$B$5,"Logged late",IF(AND(L152="Escalated",M152=""),"Escalate to Compliance",IF(AND(L152="Escalated",N152=""),"Notify Sponsor Bank",IF(AND(L152="Escalated",N152&lt;&gt;"",NETWORKDAYS(B152,N152)-1&gt;Settings!$B$10),"Sponsor Bank notified late",IF(AND(K152&lt;&gt;"",K152&lt;&gt;"None",Q152=""),"Enter the legal deadline",IF(AND(S152&lt;&gt;"",OR(T152="",V152="")),"Record outcome and root cause",IF(AND(P152="",S152="",Settings!$B$4&gt;O152),"Acknowledgment overdue",""))))))))</f>
        <v/>
      </c>
    </row>
    <row r="153" ht="15.75" customHeight="1" s="31">
      <c r="A153" s="44" t="n"/>
      <c r="B153" s="45" t="n"/>
      <c r="C153" s="45" t="n"/>
      <c r="D153" s="44" t="n"/>
      <c r="E153" s="44" t="n"/>
      <c r="F153" s="44" t="n"/>
      <c r="G153" s="44" t="n"/>
      <c r="H153" s="44" t="n"/>
      <c r="I153" s="44" t="n"/>
      <c r="J153" s="44" t="n"/>
      <c r="K153" s="44" t="n"/>
      <c r="L153" s="41">
        <f>IF(B153="","",IF(OR(COUNTIF(Settings!$E$4:$E$9,D153)&gt;0,I153="Yes",J153="Yes",K153="Fair lending allegation"),"Escalated","Standard"))</f>
        <v/>
      </c>
      <c r="M153" s="45" t="n"/>
      <c r="N153" s="45" t="n"/>
      <c r="O153" s="42">
        <f>IF(B153="","",WORKDAY(B153,Settings!$B$7))</f>
        <v/>
      </c>
      <c r="P153" s="45" t="n"/>
      <c r="Q153" s="45" t="n"/>
      <c r="R153" s="42">
        <f>IF(B153="","",IF(Q153&lt;&gt;"",MIN(Q153,IF(L153="Escalated",B153+Settings!$B$9,WORKDAY(B153,Settings!$B$8))),IF(L153="Escalated",B153+Settings!$B$9,WORKDAY(B153,Settings!$B$8))))</f>
        <v/>
      </c>
      <c r="S153" s="45" t="n"/>
      <c r="T153" s="44" t="n"/>
      <c r="U153" s="46" t="n"/>
      <c r="V153" s="44" t="n"/>
      <c r="W153" s="44" t="n"/>
      <c r="X153" s="44" t="n"/>
      <c r="Y153" s="41">
        <f>IF(B153="","",IF(S153&lt;&gt;"",S153,Settings!$B$4)-B153)</f>
        <v/>
      </c>
      <c r="Z153" s="41">
        <f>IF(B153="","",IF(S153&lt;&gt;"",IF(S153&gt;R153,"Closed late","Closed on time"),IF(Settings!$B$4&gt;R153,"Open: overdue","Open")))</f>
        <v/>
      </c>
      <c r="AA153" s="41">
        <f>IF(B153="","",IF(NETWORKDAYS(B153,C153)-1&gt;Settings!$B$5,"Logged late",IF(AND(L153="Escalated",M153=""),"Escalate to Compliance",IF(AND(L153="Escalated",N153=""),"Notify Sponsor Bank",IF(AND(L153="Escalated",N153&lt;&gt;"",NETWORKDAYS(B153,N153)-1&gt;Settings!$B$10),"Sponsor Bank notified late",IF(AND(K153&lt;&gt;"",K153&lt;&gt;"None",Q153=""),"Enter the legal deadline",IF(AND(S153&lt;&gt;"",OR(T153="",V153="")),"Record outcome and root cause",IF(AND(P153="",S153="",Settings!$B$4&gt;O153),"Acknowledgment overdue",""))))))))</f>
        <v/>
      </c>
    </row>
    <row r="154" ht="15.75" customHeight="1" s="31">
      <c r="A154" s="44" t="n"/>
      <c r="B154" s="45" t="n"/>
      <c r="C154" s="45" t="n"/>
      <c r="D154" s="44" t="n"/>
      <c r="E154" s="44" t="n"/>
      <c r="F154" s="44" t="n"/>
      <c r="G154" s="44" t="n"/>
      <c r="H154" s="44" t="n"/>
      <c r="I154" s="44" t="n"/>
      <c r="J154" s="44" t="n"/>
      <c r="K154" s="44" t="n"/>
      <c r="L154" s="41">
        <f>IF(B154="","",IF(OR(COUNTIF(Settings!$E$4:$E$9,D154)&gt;0,I154="Yes",J154="Yes",K154="Fair lending allegation"),"Escalated","Standard"))</f>
        <v/>
      </c>
      <c r="M154" s="45" t="n"/>
      <c r="N154" s="45" t="n"/>
      <c r="O154" s="42">
        <f>IF(B154="","",WORKDAY(B154,Settings!$B$7))</f>
        <v/>
      </c>
      <c r="P154" s="45" t="n"/>
      <c r="Q154" s="45" t="n"/>
      <c r="R154" s="42">
        <f>IF(B154="","",IF(Q154&lt;&gt;"",MIN(Q154,IF(L154="Escalated",B154+Settings!$B$9,WORKDAY(B154,Settings!$B$8))),IF(L154="Escalated",B154+Settings!$B$9,WORKDAY(B154,Settings!$B$8))))</f>
        <v/>
      </c>
      <c r="S154" s="45" t="n"/>
      <c r="T154" s="44" t="n"/>
      <c r="U154" s="46" t="n"/>
      <c r="V154" s="44" t="n"/>
      <c r="W154" s="44" t="n"/>
      <c r="X154" s="44" t="n"/>
      <c r="Y154" s="41">
        <f>IF(B154="","",IF(S154&lt;&gt;"",S154,Settings!$B$4)-B154)</f>
        <v/>
      </c>
      <c r="Z154" s="41">
        <f>IF(B154="","",IF(S154&lt;&gt;"",IF(S154&gt;R154,"Closed late","Closed on time"),IF(Settings!$B$4&gt;R154,"Open: overdue","Open")))</f>
        <v/>
      </c>
      <c r="AA154" s="41">
        <f>IF(B154="","",IF(NETWORKDAYS(B154,C154)-1&gt;Settings!$B$5,"Logged late",IF(AND(L154="Escalated",M154=""),"Escalate to Compliance",IF(AND(L154="Escalated",N154=""),"Notify Sponsor Bank",IF(AND(L154="Escalated",N154&lt;&gt;"",NETWORKDAYS(B154,N154)-1&gt;Settings!$B$10),"Sponsor Bank notified late",IF(AND(K154&lt;&gt;"",K154&lt;&gt;"None",Q154=""),"Enter the legal deadline",IF(AND(S154&lt;&gt;"",OR(T154="",V154="")),"Record outcome and root cause",IF(AND(P154="",S154="",Settings!$B$4&gt;O154),"Acknowledgment overdue",""))))))))</f>
        <v/>
      </c>
    </row>
    <row r="155" ht="15.75" customHeight="1" s="31">
      <c r="A155" s="44" t="n"/>
      <c r="B155" s="45" t="n"/>
      <c r="C155" s="45" t="n"/>
      <c r="D155" s="44" t="n"/>
      <c r="E155" s="44" t="n"/>
      <c r="F155" s="44" t="n"/>
      <c r="G155" s="44" t="n"/>
      <c r="H155" s="44" t="n"/>
      <c r="I155" s="44" t="n"/>
      <c r="J155" s="44" t="n"/>
      <c r="K155" s="44" t="n"/>
      <c r="L155" s="41">
        <f>IF(B155="","",IF(OR(COUNTIF(Settings!$E$4:$E$9,D155)&gt;0,I155="Yes",J155="Yes",K155="Fair lending allegation"),"Escalated","Standard"))</f>
        <v/>
      </c>
      <c r="M155" s="45" t="n"/>
      <c r="N155" s="45" t="n"/>
      <c r="O155" s="42">
        <f>IF(B155="","",WORKDAY(B155,Settings!$B$7))</f>
        <v/>
      </c>
      <c r="P155" s="45" t="n"/>
      <c r="Q155" s="45" t="n"/>
      <c r="R155" s="42">
        <f>IF(B155="","",IF(Q155&lt;&gt;"",MIN(Q155,IF(L155="Escalated",B155+Settings!$B$9,WORKDAY(B155,Settings!$B$8))),IF(L155="Escalated",B155+Settings!$B$9,WORKDAY(B155,Settings!$B$8))))</f>
        <v/>
      </c>
      <c r="S155" s="45" t="n"/>
      <c r="T155" s="44" t="n"/>
      <c r="U155" s="46" t="n"/>
      <c r="V155" s="44" t="n"/>
      <c r="W155" s="44" t="n"/>
      <c r="X155" s="44" t="n"/>
      <c r="Y155" s="41">
        <f>IF(B155="","",IF(S155&lt;&gt;"",S155,Settings!$B$4)-B155)</f>
        <v/>
      </c>
      <c r="Z155" s="41">
        <f>IF(B155="","",IF(S155&lt;&gt;"",IF(S155&gt;R155,"Closed late","Closed on time"),IF(Settings!$B$4&gt;R155,"Open: overdue","Open")))</f>
        <v/>
      </c>
      <c r="AA155" s="41">
        <f>IF(B155="","",IF(NETWORKDAYS(B155,C155)-1&gt;Settings!$B$5,"Logged late",IF(AND(L155="Escalated",M155=""),"Escalate to Compliance",IF(AND(L155="Escalated",N155=""),"Notify Sponsor Bank",IF(AND(L155="Escalated",N155&lt;&gt;"",NETWORKDAYS(B155,N155)-1&gt;Settings!$B$10),"Sponsor Bank notified late",IF(AND(K155&lt;&gt;"",K155&lt;&gt;"None",Q155=""),"Enter the legal deadline",IF(AND(S155&lt;&gt;"",OR(T155="",V155="")),"Record outcome and root cause",IF(AND(P155="",S155="",Settings!$B$4&gt;O155),"Acknowledgment overdue",""))))))))</f>
        <v/>
      </c>
    </row>
    <row r="156" ht="15.75" customHeight="1" s="31">
      <c r="A156" s="44" t="n"/>
      <c r="B156" s="45" t="n"/>
      <c r="C156" s="45" t="n"/>
      <c r="D156" s="44" t="n"/>
      <c r="E156" s="44" t="n"/>
      <c r="F156" s="44" t="n"/>
      <c r="G156" s="44" t="n"/>
      <c r="H156" s="44" t="n"/>
      <c r="I156" s="44" t="n"/>
      <c r="J156" s="44" t="n"/>
      <c r="K156" s="44" t="n"/>
      <c r="L156" s="41">
        <f>IF(B156="","",IF(OR(COUNTIF(Settings!$E$4:$E$9,D156)&gt;0,I156="Yes",J156="Yes",K156="Fair lending allegation"),"Escalated","Standard"))</f>
        <v/>
      </c>
      <c r="M156" s="45" t="n"/>
      <c r="N156" s="45" t="n"/>
      <c r="O156" s="42">
        <f>IF(B156="","",WORKDAY(B156,Settings!$B$7))</f>
        <v/>
      </c>
      <c r="P156" s="45" t="n"/>
      <c r="Q156" s="45" t="n"/>
      <c r="R156" s="42">
        <f>IF(B156="","",IF(Q156&lt;&gt;"",MIN(Q156,IF(L156="Escalated",B156+Settings!$B$9,WORKDAY(B156,Settings!$B$8))),IF(L156="Escalated",B156+Settings!$B$9,WORKDAY(B156,Settings!$B$8))))</f>
        <v/>
      </c>
      <c r="S156" s="45" t="n"/>
      <c r="T156" s="44" t="n"/>
      <c r="U156" s="46" t="n"/>
      <c r="V156" s="44" t="n"/>
      <c r="W156" s="44" t="n"/>
      <c r="X156" s="44" t="n"/>
      <c r="Y156" s="41">
        <f>IF(B156="","",IF(S156&lt;&gt;"",S156,Settings!$B$4)-B156)</f>
        <v/>
      </c>
      <c r="Z156" s="41">
        <f>IF(B156="","",IF(S156&lt;&gt;"",IF(S156&gt;R156,"Closed late","Closed on time"),IF(Settings!$B$4&gt;R156,"Open: overdue","Open")))</f>
        <v/>
      </c>
      <c r="AA156" s="41">
        <f>IF(B156="","",IF(NETWORKDAYS(B156,C156)-1&gt;Settings!$B$5,"Logged late",IF(AND(L156="Escalated",M156=""),"Escalate to Compliance",IF(AND(L156="Escalated",N156=""),"Notify Sponsor Bank",IF(AND(L156="Escalated",N156&lt;&gt;"",NETWORKDAYS(B156,N156)-1&gt;Settings!$B$10),"Sponsor Bank notified late",IF(AND(K156&lt;&gt;"",K156&lt;&gt;"None",Q156=""),"Enter the legal deadline",IF(AND(S156&lt;&gt;"",OR(T156="",V156="")),"Record outcome and root cause",IF(AND(P156="",S156="",Settings!$B$4&gt;O156),"Acknowledgment overdue",""))))))))</f>
        <v/>
      </c>
    </row>
    <row r="157" ht="15.75" customHeight="1" s="31">
      <c r="A157" s="44" t="n"/>
      <c r="B157" s="45" t="n"/>
      <c r="C157" s="45" t="n"/>
      <c r="D157" s="44" t="n"/>
      <c r="E157" s="44" t="n"/>
      <c r="F157" s="44" t="n"/>
      <c r="G157" s="44" t="n"/>
      <c r="H157" s="44" t="n"/>
      <c r="I157" s="44" t="n"/>
      <c r="J157" s="44" t="n"/>
      <c r="K157" s="44" t="n"/>
      <c r="L157" s="41">
        <f>IF(B157="","",IF(OR(COUNTIF(Settings!$E$4:$E$9,D157)&gt;0,I157="Yes",J157="Yes",K157="Fair lending allegation"),"Escalated","Standard"))</f>
        <v/>
      </c>
      <c r="M157" s="45" t="n"/>
      <c r="N157" s="45" t="n"/>
      <c r="O157" s="42">
        <f>IF(B157="","",WORKDAY(B157,Settings!$B$7))</f>
        <v/>
      </c>
      <c r="P157" s="45" t="n"/>
      <c r="Q157" s="45" t="n"/>
      <c r="R157" s="42">
        <f>IF(B157="","",IF(Q157&lt;&gt;"",MIN(Q157,IF(L157="Escalated",B157+Settings!$B$9,WORKDAY(B157,Settings!$B$8))),IF(L157="Escalated",B157+Settings!$B$9,WORKDAY(B157,Settings!$B$8))))</f>
        <v/>
      </c>
      <c r="S157" s="45" t="n"/>
      <c r="T157" s="44" t="n"/>
      <c r="U157" s="46" t="n"/>
      <c r="V157" s="44" t="n"/>
      <c r="W157" s="44" t="n"/>
      <c r="X157" s="44" t="n"/>
      <c r="Y157" s="41">
        <f>IF(B157="","",IF(S157&lt;&gt;"",S157,Settings!$B$4)-B157)</f>
        <v/>
      </c>
      <c r="Z157" s="41">
        <f>IF(B157="","",IF(S157&lt;&gt;"",IF(S157&gt;R157,"Closed late","Closed on time"),IF(Settings!$B$4&gt;R157,"Open: overdue","Open")))</f>
        <v/>
      </c>
      <c r="AA157" s="41">
        <f>IF(B157="","",IF(NETWORKDAYS(B157,C157)-1&gt;Settings!$B$5,"Logged late",IF(AND(L157="Escalated",M157=""),"Escalate to Compliance",IF(AND(L157="Escalated",N157=""),"Notify Sponsor Bank",IF(AND(L157="Escalated",N157&lt;&gt;"",NETWORKDAYS(B157,N157)-1&gt;Settings!$B$10),"Sponsor Bank notified late",IF(AND(K157&lt;&gt;"",K157&lt;&gt;"None",Q157=""),"Enter the legal deadline",IF(AND(S157&lt;&gt;"",OR(T157="",V157="")),"Record outcome and root cause",IF(AND(P157="",S157="",Settings!$B$4&gt;O157),"Acknowledgment overdue",""))))))))</f>
        <v/>
      </c>
    </row>
    <row r="158" ht="15.75" customHeight="1" s="31">
      <c r="A158" s="44" t="n"/>
      <c r="B158" s="45" t="n"/>
      <c r="C158" s="45" t="n"/>
      <c r="D158" s="44" t="n"/>
      <c r="E158" s="44" t="n"/>
      <c r="F158" s="44" t="n"/>
      <c r="G158" s="44" t="n"/>
      <c r="H158" s="44" t="n"/>
      <c r="I158" s="44" t="n"/>
      <c r="J158" s="44" t="n"/>
      <c r="K158" s="44" t="n"/>
      <c r="L158" s="41">
        <f>IF(B158="","",IF(OR(COUNTIF(Settings!$E$4:$E$9,D158)&gt;0,I158="Yes",J158="Yes",K158="Fair lending allegation"),"Escalated","Standard"))</f>
        <v/>
      </c>
      <c r="M158" s="45" t="n"/>
      <c r="N158" s="45" t="n"/>
      <c r="O158" s="42">
        <f>IF(B158="","",WORKDAY(B158,Settings!$B$7))</f>
        <v/>
      </c>
      <c r="P158" s="45" t="n"/>
      <c r="Q158" s="45" t="n"/>
      <c r="R158" s="42">
        <f>IF(B158="","",IF(Q158&lt;&gt;"",MIN(Q158,IF(L158="Escalated",B158+Settings!$B$9,WORKDAY(B158,Settings!$B$8))),IF(L158="Escalated",B158+Settings!$B$9,WORKDAY(B158,Settings!$B$8))))</f>
        <v/>
      </c>
      <c r="S158" s="45" t="n"/>
      <c r="T158" s="44" t="n"/>
      <c r="U158" s="46" t="n"/>
      <c r="V158" s="44" t="n"/>
      <c r="W158" s="44" t="n"/>
      <c r="X158" s="44" t="n"/>
      <c r="Y158" s="41">
        <f>IF(B158="","",IF(S158&lt;&gt;"",S158,Settings!$B$4)-B158)</f>
        <v/>
      </c>
      <c r="Z158" s="41">
        <f>IF(B158="","",IF(S158&lt;&gt;"",IF(S158&gt;R158,"Closed late","Closed on time"),IF(Settings!$B$4&gt;R158,"Open: overdue","Open")))</f>
        <v/>
      </c>
      <c r="AA158" s="41">
        <f>IF(B158="","",IF(NETWORKDAYS(B158,C158)-1&gt;Settings!$B$5,"Logged late",IF(AND(L158="Escalated",M158=""),"Escalate to Compliance",IF(AND(L158="Escalated",N158=""),"Notify Sponsor Bank",IF(AND(L158="Escalated",N158&lt;&gt;"",NETWORKDAYS(B158,N158)-1&gt;Settings!$B$10),"Sponsor Bank notified late",IF(AND(K158&lt;&gt;"",K158&lt;&gt;"None",Q158=""),"Enter the legal deadline",IF(AND(S158&lt;&gt;"",OR(T158="",V158="")),"Record outcome and root cause",IF(AND(P158="",S158="",Settings!$B$4&gt;O158),"Acknowledgment overdue",""))))))))</f>
        <v/>
      </c>
    </row>
    <row r="159" ht="15.75" customHeight="1" s="31">
      <c r="A159" s="44" t="n"/>
      <c r="B159" s="45" t="n"/>
      <c r="C159" s="45" t="n"/>
      <c r="D159" s="44" t="n"/>
      <c r="E159" s="44" t="n"/>
      <c r="F159" s="44" t="n"/>
      <c r="G159" s="44" t="n"/>
      <c r="H159" s="44" t="n"/>
      <c r="I159" s="44" t="n"/>
      <c r="J159" s="44" t="n"/>
      <c r="K159" s="44" t="n"/>
      <c r="L159" s="41">
        <f>IF(B159="","",IF(OR(COUNTIF(Settings!$E$4:$E$9,D159)&gt;0,I159="Yes",J159="Yes",K159="Fair lending allegation"),"Escalated","Standard"))</f>
        <v/>
      </c>
      <c r="M159" s="45" t="n"/>
      <c r="N159" s="45" t="n"/>
      <c r="O159" s="42">
        <f>IF(B159="","",WORKDAY(B159,Settings!$B$7))</f>
        <v/>
      </c>
      <c r="P159" s="45" t="n"/>
      <c r="Q159" s="45" t="n"/>
      <c r="R159" s="42">
        <f>IF(B159="","",IF(Q159&lt;&gt;"",MIN(Q159,IF(L159="Escalated",B159+Settings!$B$9,WORKDAY(B159,Settings!$B$8))),IF(L159="Escalated",B159+Settings!$B$9,WORKDAY(B159,Settings!$B$8))))</f>
        <v/>
      </c>
      <c r="S159" s="45" t="n"/>
      <c r="T159" s="44" t="n"/>
      <c r="U159" s="46" t="n"/>
      <c r="V159" s="44" t="n"/>
      <c r="W159" s="44" t="n"/>
      <c r="X159" s="44" t="n"/>
      <c r="Y159" s="41">
        <f>IF(B159="","",IF(S159&lt;&gt;"",S159,Settings!$B$4)-B159)</f>
        <v/>
      </c>
      <c r="Z159" s="41">
        <f>IF(B159="","",IF(S159&lt;&gt;"",IF(S159&gt;R159,"Closed late","Closed on time"),IF(Settings!$B$4&gt;R159,"Open: overdue","Open")))</f>
        <v/>
      </c>
      <c r="AA159" s="41">
        <f>IF(B159="","",IF(NETWORKDAYS(B159,C159)-1&gt;Settings!$B$5,"Logged late",IF(AND(L159="Escalated",M159=""),"Escalate to Compliance",IF(AND(L159="Escalated",N159=""),"Notify Sponsor Bank",IF(AND(L159="Escalated",N159&lt;&gt;"",NETWORKDAYS(B159,N159)-1&gt;Settings!$B$10),"Sponsor Bank notified late",IF(AND(K159&lt;&gt;"",K159&lt;&gt;"None",Q159=""),"Enter the legal deadline",IF(AND(S159&lt;&gt;"",OR(T159="",V159="")),"Record outcome and root cause",IF(AND(P159="",S159="",Settings!$B$4&gt;O159),"Acknowledgment overdue",""))))))))</f>
        <v/>
      </c>
    </row>
    <row r="160" ht="15.75" customHeight="1" s="31">
      <c r="A160" s="44" t="n"/>
      <c r="B160" s="45" t="n"/>
      <c r="C160" s="45" t="n"/>
      <c r="D160" s="44" t="n"/>
      <c r="E160" s="44" t="n"/>
      <c r="F160" s="44" t="n"/>
      <c r="G160" s="44" t="n"/>
      <c r="H160" s="44" t="n"/>
      <c r="I160" s="44" t="n"/>
      <c r="J160" s="44" t="n"/>
      <c r="K160" s="44" t="n"/>
      <c r="L160" s="41">
        <f>IF(B160="","",IF(OR(COUNTIF(Settings!$E$4:$E$9,D160)&gt;0,I160="Yes",J160="Yes",K160="Fair lending allegation"),"Escalated","Standard"))</f>
        <v/>
      </c>
      <c r="M160" s="45" t="n"/>
      <c r="N160" s="45" t="n"/>
      <c r="O160" s="42">
        <f>IF(B160="","",WORKDAY(B160,Settings!$B$7))</f>
        <v/>
      </c>
      <c r="P160" s="45" t="n"/>
      <c r="Q160" s="45" t="n"/>
      <c r="R160" s="42">
        <f>IF(B160="","",IF(Q160&lt;&gt;"",MIN(Q160,IF(L160="Escalated",B160+Settings!$B$9,WORKDAY(B160,Settings!$B$8))),IF(L160="Escalated",B160+Settings!$B$9,WORKDAY(B160,Settings!$B$8))))</f>
        <v/>
      </c>
      <c r="S160" s="45" t="n"/>
      <c r="T160" s="44" t="n"/>
      <c r="U160" s="46" t="n"/>
      <c r="V160" s="44" t="n"/>
      <c r="W160" s="44" t="n"/>
      <c r="X160" s="44" t="n"/>
      <c r="Y160" s="41">
        <f>IF(B160="","",IF(S160&lt;&gt;"",S160,Settings!$B$4)-B160)</f>
        <v/>
      </c>
      <c r="Z160" s="41">
        <f>IF(B160="","",IF(S160&lt;&gt;"",IF(S160&gt;R160,"Closed late","Closed on time"),IF(Settings!$B$4&gt;R160,"Open: overdue","Open")))</f>
        <v/>
      </c>
      <c r="AA160" s="41">
        <f>IF(B160="","",IF(NETWORKDAYS(B160,C160)-1&gt;Settings!$B$5,"Logged late",IF(AND(L160="Escalated",M160=""),"Escalate to Compliance",IF(AND(L160="Escalated",N160=""),"Notify Sponsor Bank",IF(AND(L160="Escalated",N160&lt;&gt;"",NETWORKDAYS(B160,N160)-1&gt;Settings!$B$10),"Sponsor Bank notified late",IF(AND(K160&lt;&gt;"",K160&lt;&gt;"None",Q160=""),"Enter the legal deadline",IF(AND(S160&lt;&gt;"",OR(T160="",V160="")),"Record outcome and root cause",IF(AND(P160="",S160="",Settings!$B$4&gt;O160),"Acknowledgment overdue",""))))))))</f>
        <v/>
      </c>
    </row>
    <row r="161" ht="15.75" customHeight="1" s="31">
      <c r="A161" s="44" t="n"/>
      <c r="B161" s="45" t="n"/>
      <c r="C161" s="45" t="n"/>
      <c r="D161" s="44" t="n"/>
      <c r="E161" s="44" t="n"/>
      <c r="F161" s="44" t="n"/>
      <c r="G161" s="44" t="n"/>
      <c r="H161" s="44" t="n"/>
      <c r="I161" s="44" t="n"/>
      <c r="J161" s="44" t="n"/>
      <c r="K161" s="44" t="n"/>
      <c r="L161" s="41">
        <f>IF(B161="","",IF(OR(COUNTIF(Settings!$E$4:$E$9,D161)&gt;0,I161="Yes",J161="Yes",K161="Fair lending allegation"),"Escalated","Standard"))</f>
        <v/>
      </c>
      <c r="M161" s="45" t="n"/>
      <c r="N161" s="45" t="n"/>
      <c r="O161" s="42">
        <f>IF(B161="","",WORKDAY(B161,Settings!$B$7))</f>
        <v/>
      </c>
      <c r="P161" s="45" t="n"/>
      <c r="Q161" s="45" t="n"/>
      <c r="R161" s="42">
        <f>IF(B161="","",IF(Q161&lt;&gt;"",MIN(Q161,IF(L161="Escalated",B161+Settings!$B$9,WORKDAY(B161,Settings!$B$8))),IF(L161="Escalated",B161+Settings!$B$9,WORKDAY(B161,Settings!$B$8))))</f>
        <v/>
      </c>
      <c r="S161" s="45" t="n"/>
      <c r="T161" s="44" t="n"/>
      <c r="U161" s="46" t="n"/>
      <c r="V161" s="44" t="n"/>
      <c r="W161" s="44" t="n"/>
      <c r="X161" s="44" t="n"/>
      <c r="Y161" s="41">
        <f>IF(B161="","",IF(S161&lt;&gt;"",S161,Settings!$B$4)-B161)</f>
        <v/>
      </c>
      <c r="Z161" s="41">
        <f>IF(B161="","",IF(S161&lt;&gt;"",IF(S161&gt;R161,"Closed late","Closed on time"),IF(Settings!$B$4&gt;R161,"Open: overdue","Open")))</f>
        <v/>
      </c>
      <c r="AA161" s="41">
        <f>IF(B161="","",IF(NETWORKDAYS(B161,C161)-1&gt;Settings!$B$5,"Logged late",IF(AND(L161="Escalated",M161=""),"Escalate to Compliance",IF(AND(L161="Escalated",N161=""),"Notify Sponsor Bank",IF(AND(L161="Escalated",N161&lt;&gt;"",NETWORKDAYS(B161,N161)-1&gt;Settings!$B$10),"Sponsor Bank notified late",IF(AND(K161&lt;&gt;"",K161&lt;&gt;"None",Q161=""),"Enter the legal deadline",IF(AND(S161&lt;&gt;"",OR(T161="",V161="")),"Record outcome and root cause",IF(AND(P161="",S161="",Settings!$B$4&gt;O161),"Acknowledgment overdue",""))))))))</f>
        <v/>
      </c>
    </row>
    <row r="162" ht="15.75" customHeight="1" s="31">
      <c r="A162" s="44" t="n"/>
      <c r="B162" s="45" t="n"/>
      <c r="C162" s="45" t="n"/>
      <c r="D162" s="44" t="n"/>
      <c r="E162" s="44" t="n"/>
      <c r="F162" s="44" t="n"/>
      <c r="G162" s="44" t="n"/>
      <c r="H162" s="44" t="n"/>
      <c r="I162" s="44" t="n"/>
      <c r="J162" s="44" t="n"/>
      <c r="K162" s="44" t="n"/>
      <c r="L162" s="41">
        <f>IF(B162="","",IF(OR(COUNTIF(Settings!$E$4:$E$9,D162)&gt;0,I162="Yes",J162="Yes",K162="Fair lending allegation"),"Escalated","Standard"))</f>
        <v/>
      </c>
      <c r="M162" s="45" t="n"/>
      <c r="N162" s="45" t="n"/>
      <c r="O162" s="42">
        <f>IF(B162="","",WORKDAY(B162,Settings!$B$7))</f>
        <v/>
      </c>
      <c r="P162" s="45" t="n"/>
      <c r="Q162" s="45" t="n"/>
      <c r="R162" s="42">
        <f>IF(B162="","",IF(Q162&lt;&gt;"",MIN(Q162,IF(L162="Escalated",B162+Settings!$B$9,WORKDAY(B162,Settings!$B$8))),IF(L162="Escalated",B162+Settings!$B$9,WORKDAY(B162,Settings!$B$8))))</f>
        <v/>
      </c>
      <c r="S162" s="45" t="n"/>
      <c r="T162" s="44" t="n"/>
      <c r="U162" s="46" t="n"/>
      <c r="V162" s="44" t="n"/>
      <c r="W162" s="44" t="n"/>
      <c r="X162" s="44" t="n"/>
      <c r="Y162" s="41">
        <f>IF(B162="","",IF(S162&lt;&gt;"",S162,Settings!$B$4)-B162)</f>
        <v/>
      </c>
      <c r="Z162" s="41">
        <f>IF(B162="","",IF(S162&lt;&gt;"",IF(S162&gt;R162,"Closed late","Closed on time"),IF(Settings!$B$4&gt;R162,"Open: overdue","Open")))</f>
        <v/>
      </c>
      <c r="AA162" s="41">
        <f>IF(B162="","",IF(NETWORKDAYS(B162,C162)-1&gt;Settings!$B$5,"Logged late",IF(AND(L162="Escalated",M162=""),"Escalate to Compliance",IF(AND(L162="Escalated",N162=""),"Notify Sponsor Bank",IF(AND(L162="Escalated",N162&lt;&gt;"",NETWORKDAYS(B162,N162)-1&gt;Settings!$B$10),"Sponsor Bank notified late",IF(AND(K162&lt;&gt;"",K162&lt;&gt;"None",Q162=""),"Enter the legal deadline",IF(AND(S162&lt;&gt;"",OR(T162="",V162="")),"Record outcome and root cause",IF(AND(P162="",S162="",Settings!$B$4&gt;O162),"Acknowledgment overdue",""))))))))</f>
        <v/>
      </c>
    </row>
    <row r="163" ht="15.75" customHeight="1" s="31">
      <c r="A163" s="44" t="n"/>
      <c r="B163" s="45" t="n"/>
      <c r="C163" s="45" t="n"/>
      <c r="D163" s="44" t="n"/>
      <c r="E163" s="44" t="n"/>
      <c r="F163" s="44" t="n"/>
      <c r="G163" s="44" t="n"/>
      <c r="H163" s="44" t="n"/>
      <c r="I163" s="44" t="n"/>
      <c r="J163" s="44" t="n"/>
      <c r="K163" s="44" t="n"/>
      <c r="L163" s="41">
        <f>IF(B163="","",IF(OR(COUNTIF(Settings!$E$4:$E$9,D163)&gt;0,I163="Yes",J163="Yes",K163="Fair lending allegation"),"Escalated","Standard"))</f>
        <v/>
      </c>
      <c r="M163" s="45" t="n"/>
      <c r="N163" s="45" t="n"/>
      <c r="O163" s="42">
        <f>IF(B163="","",WORKDAY(B163,Settings!$B$7))</f>
        <v/>
      </c>
      <c r="P163" s="45" t="n"/>
      <c r="Q163" s="45" t="n"/>
      <c r="R163" s="42">
        <f>IF(B163="","",IF(Q163&lt;&gt;"",MIN(Q163,IF(L163="Escalated",B163+Settings!$B$9,WORKDAY(B163,Settings!$B$8))),IF(L163="Escalated",B163+Settings!$B$9,WORKDAY(B163,Settings!$B$8))))</f>
        <v/>
      </c>
      <c r="S163" s="45" t="n"/>
      <c r="T163" s="44" t="n"/>
      <c r="U163" s="46" t="n"/>
      <c r="V163" s="44" t="n"/>
      <c r="W163" s="44" t="n"/>
      <c r="X163" s="44" t="n"/>
      <c r="Y163" s="41">
        <f>IF(B163="","",IF(S163&lt;&gt;"",S163,Settings!$B$4)-B163)</f>
        <v/>
      </c>
      <c r="Z163" s="41">
        <f>IF(B163="","",IF(S163&lt;&gt;"",IF(S163&gt;R163,"Closed late","Closed on time"),IF(Settings!$B$4&gt;R163,"Open: overdue","Open")))</f>
        <v/>
      </c>
      <c r="AA163" s="41">
        <f>IF(B163="","",IF(NETWORKDAYS(B163,C163)-1&gt;Settings!$B$5,"Logged late",IF(AND(L163="Escalated",M163=""),"Escalate to Compliance",IF(AND(L163="Escalated",N163=""),"Notify Sponsor Bank",IF(AND(L163="Escalated",N163&lt;&gt;"",NETWORKDAYS(B163,N163)-1&gt;Settings!$B$10),"Sponsor Bank notified late",IF(AND(K163&lt;&gt;"",K163&lt;&gt;"None",Q163=""),"Enter the legal deadline",IF(AND(S163&lt;&gt;"",OR(T163="",V163="")),"Record outcome and root cause",IF(AND(P163="",S163="",Settings!$B$4&gt;O163),"Acknowledgment overdue",""))))))))</f>
        <v/>
      </c>
    </row>
    <row r="164" ht="15.75" customHeight="1" s="31">
      <c r="A164" s="44" t="n"/>
      <c r="B164" s="45" t="n"/>
      <c r="C164" s="45" t="n"/>
      <c r="D164" s="44" t="n"/>
      <c r="E164" s="44" t="n"/>
      <c r="F164" s="44" t="n"/>
      <c r="G164" s="44" t="n"/>
      <c r="H164" s="44" t="n"/>
      <c r="I164" s="44" t="n"/>
      <c r="J164" s="44" t="n"/>
      <c r="K164" s="44" t="n"/>
      <c r="L164" s="41">
        <f>IF(B164="","",IF(OR(COUNTIF(Settings!$E$4:$E$9,D164)&gt;0,I164="Yes",J164="Yes",K164="Fair lending allegation"),"Escalated","Standard"))</f>
        <v/>
      </c>
      <c r="M164" s="45" t="n"/>
      <c r="N164" s="45" t="n"/>
      <c r="O164" s="42">
        <f>IF(B164="","",WORKDAY(B164,Settings!$B$7))</f>
        <v/>
      </c>
      <c r="P164" s="45" t="n"/>
      <c r="Q164" s="45" t="n"/>
      <c r="R164" s="42">
        <f>IF(B164="","",IF(Q164&lt;&gt;"",MIN(Q164,IF(L164="Escalated",B164+Settings!$B$9,WORKDAY(B164,Settings!$B$8))),IF(L164="Escalated",B164+Settings!$B$9,WORKDAY(B164,Settings!$B$8))))</f>
        <v/>
      </c>
      <c r="S164" s="45" t="n"/>
      <c r="T164" s="44" t="n"/>
      <c r="U164" s="46" t="n"/>
      <c r="V164" s="44" t="n"/>
      <c r="W164" s="44" t="n"/>
      <c r="X164" s="44" t="n"/>
      <c r="Y164" s="41">
        <f>IF(B164="","",IF(S164&lt;&gt;"",S164,Settings!$B$4)-B164)</f>
        <v/>
      </c>
      <c r="Z164" s="41">
        <f>IF(B164="","",IF(S164&lt;&gt;"",IF(S164&gt;R164,"Closed late","Closed on time"),IF(Settings!$B$4&gt;R164,"Open: overdue","Open")))</f>
        <v/>
      </c>
      <c r="AA164" s="41">
        <f>IF(B164="","",IF(NETWORKDAYS(B164,C164)-1&gt;Settings!$B$5,"Logged late",IF(AND(L164="Escalated",M164=""),"Escalate to Compliance",IF(AND(L164="Escalated",N164=""),"Notify Sponsor Bank",IF(AND(L164="Escalated",N164&lt;&gt;"",NETWORKDAYS(B164,N164)-1&gt;Settings!$B$10),"Sponsor Bank notified late",IF(AND(K164&lt;&gt;"",K164&lt;&gt;"None",Q164=""),"Enter the legal deadline",IF(AND(S164&lt;&gt;"",OR(T164="",V164="")),"Record outcome and root cause",IF(AND(P164="",S164="",Settings!$B$4&gt;O164),"Acknowledgment overdue",""))))))))</f>
        <v/>
      </c>
    </row>
    <row r="165" ht="15.75" customHeight="1" s="31">
      <c r="A165" s="44" t="n"/>
      <c r="B165" s="45" t="n"/>
      <c r="C165" s="45" t="n"/>
      <c r="D165" s="44" t="n"/>
      <c r="E165" s="44" t="n"/>
      <c r="F165" s="44" t="n"/>
      <c r="G165" s="44" t="n"/>
      <c r="H165" s="44" t="n"/>
      <c r="I165" s="44" t="n"/>
      <c r="J165" s="44" t="n"/>
      <c r="K165" s="44" t="n"/>
      <c r="L165" s="41">
        <f>IF(B165="","",IF(OR(COUNTIF(Settings!$E$4:$E$9,D165)&gt;0,I165="Yes",J165="Yes",K165="Fair lending allegation"),"Escalated","Standard"))</f>
        <v/>
      </c>
      <c r="M165" s="45" t="n"/>
      <c r="N165" s="45" t="n"/>
      <c r="O165" s="42">
        <f>IF(B165="","",WORKDAY(B165,Settings!$B$7))</f>
        <v/>
      </c>
      <c r="P165" s="45" t="n"/>
      <c r="Q165" s="45" t="n"/>
      <c r="R165" s="42">
        <f>IF(B165="","",IF(Q165&lt;&gt;"",MIN(Q165,IF(L165="Escalated",B165+Settings!$B$9,WORKDAY(B165,Settings!$B$8))),IF(L165="Escalated",B165+Settings!$B$9,WORKDAY(B165,Settings!$B$8))))</f>
        <v/>
      </c>
      <c r="S165" s="45" t="n"/>
      <c r="T165" s="44" t="n"/>
      <c r="U165" s="46" t="n"/>
      <c r="V165" s="44" t="n"/>
      <c r="W165" s="44" t="n"/>
      <c r="X165" s="44" t="n"/>
      <c r="Y165" s="41">
        <f>IF(B165="","",IF(S165&lt;&gt;"",S165,Settings!$B$4)-B165)</f>
        <v/>
      </c>
      <c r="Z165" s="41">
        <f>IF(B165="","",IF(S165&lt;&gt;"",IF(S165&gt;R165,"Closed late","Closed on time"),IF(Settings!$B$4&gt;R165,"Open: overdue","Open")))</f>
        <v/>
      </c>
      <c r="AA165" s="41">
        <f>IF(B165="","",IF(NETWORKDAYS(B165,C165)-1&gt;Settings!$B$5,"Logged late",IF(AND(L165="Escalated",M165=""),"Escalate to Compliance",IF(AND(L165="Escalated",N165=""),"Notify Sponsor Bank",IF(AND(L165="Escalated",N165&lt;&gt;"",NETWORKDAYS(B165,N165)-1&gt;Settings!$B$10),"Sponsor Bank notified late",IF(AND(K165&lt;&gt;"",K165&lt;&gt;"None",Q165=""),"Enter the legal deadline",IF(AND(S165&lt;&gt;"",OR(T165="",V165="")),"Record outcome and root cause",IF(AND(P165="",S165="",Settings!$B$4&gt;O165),"Acknowledgment overdue",""))))))))</f>
        <v/>
      </c>
    </row>
    <row r="166" ht="15.75" customHeight="1" s="31">
      <c r="A166" s="44" t="n"/>
      <c r="B166" s="45" t="n"/>
      <c r="C166" s="45" t="n"/>
      <c r="D166" s="44" t="n"/>
      <c r="E166" s="44" t="n"/>
      <c r="F166" s="44" t="n"/>
      <c r="G166" s="44" t="n"/>
      <c r="H166" s="44" t="n"/>
      <c r="I166" s="44" t="n"/>
      <c r="J166" s="44" t="n"/>
      <c r="K166" s="44" t="n"/>
      <c r="L166" s="41">
        <f>IF(B166="","",IF(OR(COUNTIF(Settings!$E$4:$E$9,D166)&gt;0,I166="Yes",J166="Yes",K166="Fair lending allegation"),"Escalated","Standard"))</f>
        <v/>
      </c>
      <c r="M166" s="45" t="n"/>
      <c r="N166" s="45" t="n"/>
      <c r="O166" s="42">
        <f>IF(B166="","",WORKDAY(B166,Settings!$B$7))</f>
        <v/>
      </c>
      <c r="P166" s="45" t="n"/>
      <c r="Q166" s="45" t="n"/>
      <c r="R166" s="42">
        <f>IF(B166="","",IF(Q166&lt;&gt;"",MIN(Q166,IF(L166="Escalated",B166+Settings!$B$9,WORKDAY(B166,Settings!$B$8))),IF(L166="Escalated",B166+Settings!$B$9,WORKDAY(B166,Settings!$B$8))))</f>
        <v/>
      </c>
      <c r="S166" s="45" t="n"/>
      <c r="T166" s="44" t="n"/>
      <c r="U166" s="46" t="n"/>
      <c r="V166" s="44" t="n"/>
      <c r="W166" s="44" t="n"/>
      <c r="X166" s="44" t="n"/>
      <c r="Y166" s="41">
        <f>IF(B166="","",IF(S166&lt;&gt;"",S166,Settings!$B$4)-B166)</f>
        <v/>
      </c>
      <c r="Z166" s="41">
        <f>IF(B166="","",IF(S166&lt;&gt;"",IF(S166&gt;R166,"Closed late","Closed on time"),IF(Settings!$B$4&gt;R166,"Open: overdue","Open")))</f>
        <v/>
      </c>
      <c r="AA166" s="41">
        <f>IF(B166="","",IF(NETWORKDAYS(B166,C166)-1&gt;Settings!$B$5,"Logged late",IF(AND(L166="Escalated",M166=""),"Escalate to Compliance",IF(AND(L166="Escalated",N166=""),"Notify Sponsor Bank",IF(AND(L166="Escalated",N166&lt;&gt;"",NETWORKDAYS(B166,N166)-1&gt;Settings!$B$10),"Sponsor Bank notified late",IF(AND(K166&lt;&gt;"",K166&lt;&gt;"None",Q166=""),"Enter the legal deadline",IF(AND(S166&lt;&gt;"",OR(T166="",V166="")),"Record outcome and root cause",IF(AND(P166="",S166="",Settings!$B$4&gt;O166),"Acknowledgment overdue",""))))))))</f>
        <v/>
      </c>
    </row>
    <row r="167" ht="15.75" customHeight="1" s="31">
      <c r="A167" s="44" t="n"/>
      <c r="B167" s="45" t="n"/>
      <c r="C167" s="45" t="n"/>
      <c r="D167" s="44" t="n"/>
      <c r="E167" s="44" t="n"/>
      <c r="F167" s="44" t="n"/>
      <c r="G167" s="44" t="n"/>
      <c r="H167" s="44" t="n"/>
      <c r="I167" s="44" t="n"/>
      <c r="J167" s="44" t="n"/>
      <c r="K167" s="44" t="n"/>
      <c r="L167" s="41">
        <f>IF(B167="","",IF(OR(COUNTIF(Settings!$E$4:$E$9,D167)&gt;0,I167="Yes",J167="Yes",K167="Fair lending allegation"),"Escalated","Standard"))</f>
        <v/>
      </c>
      <c r="M167" s="45" t="n"/>
      <c r="N167" s="45" t="n"/>
      <c r="O167" s="42">
        <f>IF(B167="","",WORKDAY(B167,Settings!$B$7))</f>
        <v/>
      </c>
      <c r="P167" s="45" t="n"/>
      <c r="Q167" s="45" t="n"/>
      <c r="R167" s="42">
        <f>IF(B167="","",IF(Q167&lt;&gt;"",MIN(Q167,IF(L167="Escalated",B167+Settings!$B$9,WORKDAY(B167,Settings!$B$8))),IF(L167="Escalated",B167+Settings!$B$9,WORKDAY(B167,Settings!$B$8))))</f>
        <v/>
      </c>
      <c r="S167" s="45" t="n"/>
      <c r="T167" s="44" t="n"/>
      <c r="U167" s="46" t="n"/>
      <c r="V167" s="44" t="n"/>
      <c r="W167" s="44" t="n"/>
      <c r="X167" s="44" t="n"/>
      <c r="Y167" s="41">
        <f>IF(B167="","",IF(S167&lt;&gt;"",S167,Settings!$B$4)-B167)</f>
        <v/>
      </c>
      <c r="Z167" s="41">
        <f>IF(B167="","",IF(S167&lt;&gt;"",IF(S167&gt;R167,"Closed late","Closed on time"),IF(Settings!$B$4&gt;R167,"Open: overdue","Open")))</f>
        <v/>
      </c>
      <c r="AA167" s="41">
        <f>IF(B167="","",IF(NETWORKDAYS(B167,C167)-1&gt;Settings!$B$5,"Logged late",IF(AND(L167="Escalated",M167=""),"Escalate to Compliance",IF(AND(L167="Escalated",N167=""),"Notify Sponsor Bank",IF(AND(L167="Escalated",N167&lt;&gt;"",NETWORKDAYS(B167,N167)-1&gt;Settings!$B$10),"Sponsor Bank notified late",IF(AND(K167&lt;&gt;"",K167&lt;&gt;"None",Q167=""),"Enter the legal deadline",IF(AND(S167&lt;&gt;"",OR(T167="",V167="")),"Record outcome and root cause",IF(AND(P167="",S167="",Settings!$B$4&gt;O167),"Acknowledgment overdue",""))))))))</f>
        <v/>
      </c>
    </row>
    <row r="168" ht="15.75" customHeight="1" s="31">
      <c r="A168" s="44" t="n"/>
      <c r="B168" s="45" t="n"/>
      <c r="C168" s="45" t="n"/>
      <c r="D168" s="44" t="n"/>
      <c r="E168" s="44" t="n"/>
      <c r="F168" s="44" t="n"/>
      <c r="G168" s="44" t="n"/>
      <c r="H168" s="44" t="n"/>
      <c r="I168" s="44" t="n"/>
      <c r="J168" s="44" t="n"/>
      <c r="K168" s="44" t="n"/>
      <c r="L168" s="41">
        <f>IF(B168="","",IF(OR(COUNTIF(Settings!$E$4:$E$9,D168)&gt;0,I168="Yes",J168="Yes",K168="Fair lending allegation"),"Escalated","Standard"))</f>
        <v/>
      </c>
      <c r="M168" s="45" t="n"/>
      <c r="N168" s="45" t="n"/>
      <c r="O168" s="42">
        <f>IF(B168="","",WORKDAY(B168,Settings!$B$7))</f>
        <v/>
      </c>
      <c r="P168" s="45" t="n"/>
      <c r="Q168" s="45" t="n"/>
      <c r="R168" s="42">
        <f>IF(B168="","",IF(Q168&lt;&gt;"",MIN(Q168,IF(L168="Escalated",B168+Settings!$B$9,WORKDAY(B168,Settings!$B$8))),IF(L168="Escalated",B168+Settings!$B$9,WORKDAY(B168,Settings!$B$8))))</f>
        <v/>
      </c>
      <c r="S168" s="45" t="n"/>
      <c r="T168" s="44" t="n"/>
      <c r="U168" s="46" t="n"/>
      <c r="V168" s="44" t="n"/>
      <c r="W168" s="44" t="n"/>
      <c r="X168" s="44" t="n"/>
      <c r="Y168" s="41">
        <f>IF(B168="","",IF(S168&lt;&gt;"",S168,Settings!$B$4)-B168)</f>
        <v/>
      </c>
      <c r="Z168" s="41">
        <f>IF(B168="","",IF(S168&lt;&gt;"",IF(S168&gt;R168,"Closed late","Closed on time"),IF(Settings!$B$4&gt;R168,"Open: overdue","Open")))</f>
        <v/>
      </c>
      <c r="AA168" s="41">
        <f>IF(B168="","",IF(NETWORKDAYS(B168,C168)-1&gt;Settings!$B$5,"Logged late",IF(AND(L168="Escalated",M168=""),"Escalate to Compliance",IF(AND(L168="Escalated",N168=""),"Notify Sponsor Bank",IF(AND(L168="Escalated",N168&lt;&gt;"",NETWORKDAYS(B168,N168)-1&gt;Settings!$B$10),"Sponsor Bank notified late",IF(AND(K168&lt;&gt;"",K168&lt;&gt;"None",Q168=""),"Enter the legal deadline",IF(AND(S168&lt;&gt;"",OR(T168="",V168="")),"Record outcome and root cause",IF(AND(P168="",S168="",Settings!$B$4&gt;O168),"Acknowledgment overdue",""))))))))</f>
        <v/>
      </c>
    </row>
    <row r="169" ht="15.75" customHeight="1" s="31">
      <c r="A169" s="44" t="n"/>
      <c r="B169" s="45" t="n"/>
      <c r="C169" s="45" t="n"/>
      <c r="D169" s="44" t="n"/>
      <c r="E169" s="44" t="n"/>
      <c r="F169" s="44" t="n"/>
      <c r="G169" s="44" t="n"/>
      <c r="H169" s="44" t="n"/>
      <c r="I169" s="44" t="n"/>
      <c r="J169" s="44" t="n"/>
      <c r="K169" s="44" t="n"/>
      <c r="L169" s="41">
        <f>IF(B169="","",IF(OR(COUNTIF(Settings!$E$4:$E$9,D169)&gt;0,I169="Yes",J169="Yes",K169="Fair lending allegation"),"Escalated","Standard"))</f>
        <v/>
      </c>
      <c r="M169" s="45" t="n"/>
      <c r="N169" s="45" t="n"/>
      <c r="O169" s="42">
        <f>IF(B169="","",WORKDAY(B169,Settings!$B$7))</f>
        <v/>
      </c>
      <c r="P169" s="45" t="n"/>
      <c r="Q169" s="45" t="n"/>
      <c r="R169" s="42">
        <f>IF(B169="","",IF(Q169&lt;&gt;"",MIN(Q169,IF(L169="Escalated",B169+Settings!$B$9,WORKDAY(B169,Settings!$B$8))),IF(L169="Escalated",B169+Settings!$B$9,WORKDAY(B169,Settings!$B$8))))</f>
        <v/>
      </c>
      <c r="S169" s="45" t="n"/>
      <c r="T169" s="44" t="n"/>
      <c r="U169" s="46" t="n"/>
      <c r="V169" s="44" t="n"/>
      <c r="W169" s="44" t="n"/>
      <c r="X169" s="44" t="n"/>
      <c r="Y169" s="41">
        <f>IF(B169="","",IF(S169&lt;&gt;"",S169,Settings!$B$4)-B169)</f>
        <v/>
      </c>
      <c r="Z169" s="41">
        <f>IF(B169="","",IF(S169&lt;&gt;"",IF(S169&gt;R169,"Closed late","Closed on time"),IF(Settings!$B$4&gt;R169,"Open: overdue","Open")))</f>
        <v/>
      </c>
      <c r="AA169" s="41">
        <f>IF(B169="","",IF(NETWORKDAYS(B169,C169)-1&gt;Settings!$B$5,"Logged late",IF(AND(L169="Escalated",M169=""),"Escalate to Compliance",IF(AND(L169="Escalated",N169=""),"Notify Sponsor Bank",IF(AND(L169="Escalated",N169&lt;&gt;"",NETWORKDAYS(B169,N169)-1&gt;Settings!$B$10),"Sponsor Bank notified late",IF(AND(K169&lt;&gt;"",K169&lt;&gt;"None",Q169=""),"Enter the legal deadline",IF(AND(S169&lt;&gt;"",OR(T169="",V169="")),"Record outcome and root cause",IF(AND(P169="",S169="",Settings!$B$4&gt;O169),"Acknowledgment overdue",""))))))))</f>
        <v/>
      </c>
    </row>
    <row r="170" ht="15.75" customHeight="1" s="31">
      <c r="A170" s="44" t="n"/>
      <c r="B170" s="45" t="n"/>
      <c r="C170" s="45" t="n"/>
      <c r="D170" s="44" t="n"/>
      <c r="E170" s="44" t="n"/>
      <c r="F170" s="44" t="n"/>
      <c r="G170" s="44" t="n"/>
      <c r="H170" s="44" t="n"/>
      <c r="I170" s="44" t="n"/>
      <c r="J170" s="44" t="n"/>
      <c r="K170" s="44" t="n"/>
      <c r="L170" s="41">
        <f>IF(B170="","",IF(OR(COUNTIF(Settings!$E$4:$E$9,D170)&gt;0,I170="Yes",J170="Yes",K170="Fair lending allegation"),"Escalated","Standard"))</f>
        <v/>
      </c>
      <c r="M170" s="45" t="n"/>
      <c r="N170" s="45" t="n"/>
      <c r="O170" s="42">
        <f>IF(B170="","",WORKDAY(B170,Settings!$B$7))</f>
        <v/>
      </c>
      <c r="P170" s="45" t="n"/>
      <c r="Q170" s="45" t="n"/>
      <c r="R170" s="42">
        <f>IF(B170="","",IF(Q170&lt;&gt;"",MIN(Q170,IF(L170="Escalated",B170+Settings!$B$9,WORKDAY(B170,Settings!$B$8))),IF(L170="Escalated",B170+Settings!$B$9,WORKDAY(B170,Settings!$B$8))))</f>
        <v/>
      </c>
      <c r="S170" s="45" t="n"/>
      <c r="T170" s="44" t="n"/>
      <c r="U170" s="46" t="n"/>
      <c r="V170" s="44" t="n"/>
      <c r="W170" s="44" t="n"/>
      <c r="X170" s="44" t="n"/>
      <c r="Y170" s="41">
        <f>IF(B170="","",IF(S170&lt;&gt;"",S170,Settings!$B$4)-B170)</f>
        <v/>
      </c>
      <c r="Z170" s="41">
        <f>IF(B170="","",IF(S170&lt;&gt;"",IF(S170&gt;R170,"Closed late","Closed on time"),IF(Settings!$B$4&gt;R170,"Open: overdue","Open")))</f>
        <v/>
      </c>
      <c r="AA170" s="41">
        <f>IF(B170="","",IF(NETWORKDAYS(B170,C170)-1&gt;Settings!$B$5,"Logged late",IF(AND(L170="Escalated",M170=""),"Escalate to Compliance",IF(AND(L170="Escalated",N170=""),"Notify Sponsor Bank",IF(AND(L170="Escalated",N170&lt;&gt;"",NETWORKDAYS(B170,N170)-1&gt;Settings!$B$10),"Sponsor Bank notified late",IF(AND(K170&lt;&gt;"",K170&lt;&gt;"None",Q170=""),"Enter the legal deadline",IF(AND(S170&lt;&gt;"",OR(T170="",V170="")),"Record outcome and root cause",IF(AND(P170="",S170="",Settings!$B$4&gt;O170),"Acknowledgment overdue",""))))))))</f>
        <v/>
      </c>
    </row>
    <row r="171" ht="15.75" customHeight="1" s="31">
      <c r="A171" s="44" t="n"/>
      <c r="B171" s="45" t="n"/>
      <c r="C171" s="45" t="n"/>
      <c r="D171" s="44" t="n"/>
      <c r="E171" s="44" t="n"/>
      <c r="F171" s="44" t="n"/>
      <c r="G171" s="44" t="n"/>
      <c r="H171" s="44" t="n"/>
      <c r="I171" s="44" t="n"/>
      <c r="J171" s="44" t="n"/>
      <c r="K171" s="44" t="n"/>
      <c r="L171" s="41">
        <f>IF(B171="","",IF(OR(COUNTIF(Settings!$E$4:$E$9,D171)&gt;0,I171="Yes",J171="Yes",K171="Fair lending allegation"),"Escalated","Standard"))</f>
        <v/>
      </c>
      <c r="M171" s="45" t="n"/>
      <c r="N171" s="45" t="n"/>
      <c r="O171" s="42">
        <f>IF(B171="","",WORKDAY(B171,Settings!$B$7))</f>
        <v/>
      </c>
      <c r="P171" s="45" t="n"/>
      <c r="Q171" s="45" t="n"/>
      <c r="R171" s="42">
        <f>IF(B171="","",IF(Q171&lt;&gt;"",MIN(Q171,IF(L171="Escalated",B171+Settings!$B$9,WORKDAY(B171,Settings!$B$8))),IF(L171="Escalated",B171+Settings!$B$9,WORKDAY(B171,Settings!$B$8))))</f>
        <v/>
      </c>
      <c r="S171" s="45" t="n"/>
      <c r="T171" s="44" t="n"/>
      <c r="U171" s="46" t="n"/>
      <c r="V171" s="44" t="n"/>
      <c r="W171" s="44" t="n"/>
      <c r="X171" s="44" t="n"/>
      <c r="Y171" s="41">
        <f>IF(B171="","",IF(S171&lt;&gt;"",S171,Settings!$B$4)-B171)</f>
        <v/>
      </c>
      <c r="Z171" s="41">
        <f>IF(B171="","",IF(S171&lt;&gt;"",IF(S171&gt;R171,"Closed late","Closed on time"),IF(Settings!$B$4&gt;R171,"Open: overdue","Open")))</f>
        <v/>
      </c>
      <c r="AA171" s="41">
        <f>IF(B171="","",IF(NETWORKDAYS(B171,C171)-1&gt;Settings!$B$5,"Logged late",IF(AND(L171="Escalated",M171=""),"Escalate to Compliance",IF(AND(L171="Escalated",N171=""),"Notify Sponsor Bank",IF(AND(L171="Escalated",N171&lt;&gt;"",NETWORKDAYS(B171,N171)-1&gt;Settings!$B$10),"Sponsor Bank notified late",IF(AND(K171&lt;&gt;"",K171&lt;&gt;"None",Q171=""),"Enter the legal deadline",IF(AND(S171&lt;&gt;"",OR(T171="",V171="")),"Record outcome and root cause",IF(AND(P171="",S171="",Settings!$B$4&gt;O171),"Acknowledgment overdue",""))))))))</f>
        <v/>
      </c>
    </row>
    <row r="172" ht="15.75" customHeight="1" s="31">
      <c r="A172" s="44" t="n"/>
      <c r="B172" s="45" t="n"/>
      <c r="C172" s="45" t="n"/>
      <c r="D172" s="44" t="n"/>
      <c r="E172" s="44" t="n"/>
      <c r="F172" s="44" t="n"/>
      <c r="G172" s="44" t="n"/>
      <c r="H172" s="44" t="n"/>
      <c r="I172" s="44" t="n"/>
      <c r="J172" s="44" t="n"/>
      <c r="K172" s="44" t="n"/>
      <c r="L172" s="41">
        <f>IF(B172="","",IF(OR(COUNTIF(Settings!$E$4:$E$9,D172)&gt;0,I172="Yes",J172="Yes",K172="Fair lending allegation"),"Escalated","Standard"))</f>
        <v/>
      </c>
      <c r="M172" s="45" t="n"/>
      <c r="N172" s="45" t="n"/>
      <c r="O172" s="42">
        <f>IF(B172="","",WORKDAY(B172,Settings!$B$7))</f>
        <v/>
      </c>
      <c r="P172" s="45" t="n"/>
      <c r="Q172" s="45" t="n"/>
      <c r="R172" s="42">
        <f>IF(B172="","",IF(Q172&lt;&gt;"",MIN(Q172,IF(L172="Escalated",B172+Settings!$B$9,WORKDAY(B172,Settings!$B$8))),IF(L172="Escalated",B172+Settings!$B$9,WORKDAY(B172,Settings!$B$8))))</f>
        <v/>
      </c>
      <c r="S172" s="45" t="n"/>
      <c r="T172" s="44" t="n"/>
      <c r="U172" s="46" t="n"/>
      <c r="V172" s="44" t="n"/>
      <c r="W172" s="44" t="n"/>
      <c r="X172" s="44" t="n"/>
      <c r="Y172" s="41">
        <f>IF(B172="","",IF(S172&lt;&gt;"",S172,Settings!$B$4)-B172)</f>
        <v/>
      </c>
      <c r="Z172" s="41">
        <f>IF(B172="","",IF(S172&lt;&gt;"",IF(S172&gt;R172,"Closed late","Closed on time"),IF(Settings!$B$4&gt;R172,"Open: overdue","Open")))</f>
        <v/>
      </c>
      <c r="AA172" s="41">
        <f>IF(B172="","",IF(NETWORKDAYS(B172,C172)-1&gt;Settings!$B$5,"Logged late",IF(AND(L172="Escalated",M172=""),"Escalate to Compliance",IF(AND(L172="Escalated",N172=""),"Notify Sponsor Bank",IF(AND(L172="Escalated",N172&lt;&gt;"",NETWORKDAYS(B172,N172)-1&gt;Settings!$B$10),"Sponsor Bank notified late",IF(AND(K172&lt;&gt;"",K172&lt;&gt;"None",Q172=""),"Enter the legal deadline",IF(AND(S172&lt;&gt;"",OR(T172="",V172="")),"Record outcome and root cause",IF(AND(P172="",S172="",Settings!$B$4&gt;O172),"Acknowledgment overdue",""))))))))</f>
        <v/>
      </c>
    </row>
    <row r="173" ht="15.75" customHeight="1" s="31">
      <c r="A173" s="44" t="n"/>
      <c r="B173" s="45" t="n"/>
      <c r="C173" s="45" t="n"/>
      <c r="D173" s="44" t="n"/>
      <c r="E173" s="44" t="n"/>
      <c r="F173" s="44" t="n"/>
      <c r="G173" s="44" t="n"/>
      <c r="H173" s="44" t="n"/>
      <c r="I173" s="44" t="n"/>
      <c r="J173" s="44" t="n"/>
      <c r="K173" s="44" t="n"/>
      <c r="L173" s="41">
        <f>IF(B173="","",IF(OR(COUNTIF(Settings!$E$4:$E$9,D173)&gt;0,I173="Yes",J173="Yes",K173="Fair lending allegation"),"Escalated","Standard"))</f>
        <v/>
      </c>
      <c r="M173" s="45" t="n"/>
      <c r="N173" s="45" t="n"/>
      <c r="O173" s="42">
        <f>IF(B173="","",WORKDAY(B173,Settings!$B$7))</f>
        <v/>
      </c>
      <c r="P173" s="45" t="n"/>
      <c r="Q173" s="45" t="n"/>
      <c r="R173" s="42">
        <f>IF(B173="","",IF(Q173&lt;&gt;"",MIN(Q173,IF(L173="Escalated",B173+Settings!$B$9,WORKDAY(B173,Settings!$B$8))),IF(L173="Escalated",B173+Settings!$B$9,WORKDAY(B173,Settings!$B$8))))</f>
        <v/>
      </c>
      <c r="S173" s="45" t="n"/>
      <c r="T173" s="44" t="n"/>
      <c r="U173" s="46" t="n"/>
      <c r="V173" s="44" t="n"/>
      <c r="W173" s="44" t="n"/>
      <c r="X173" s="44" t="n"/>
      <c r="Y173" s="41">
        <f>IF(B173="","",IF(S173&lt;&gt;"",S173,Settings!$B$4)-B173)</f>
        <v/>
      </c>
      <c r="Z173" s="41">
        <f>IF(B173="","",IF(S173&lt;&gt;"",IF(S173&gt;R173,"Closed late","Closed on time"),IF(Settings!$B$4&gt;R173,"Open: overdue","Open")))</f>
        <v/>
      </c>
      <c r="AA173" s="41">
        <f>IF(B173="","",IF(NETWORKDAYS(B173,C173)-1&gt;Settings!$B$5,"Logged late",IF(AND(L173="Escalated",M173=""),"Escalate to Compliance",IF(AND(L173="Escalated",N173=""),"Notify Sponsor Bank",IF(AND(L173="Escalated",N173&lt;&gt;"",NETWORKDAYS(B173,N173)-1&gt;Settings!$B$10),"Sponsor Bank notified late",IF(AND(K173&lt;&gt;"",K173&lt;&gt;"None",Q173=""),"Enter the legal deadline",IF(AND(S173&lt;&gt;"",OR(T173="",V173="")),"Record outcome and root cause",IF(AND(P173="",S173="",Settings!$B$4&gt;O173),"Acknowledgment overdue",""))))))))</f>
        <v/>
      </c>
    </row>
    <row r="174" ht="15.75" customHeight="1" s="31">
      <c r="A174" s="44" t="n"/>
      <c r="B174" s="45" t="n"/>
      <c r="C174" s="45" t="n"/>
      <c r="D174" s="44" t="n"/>
      <c r="E174" s="44" t="n"/>
      <c r="F174" s="44" t="n"/>
      <c r="G174" s="44" t="n"/>
      <c r="H174" s="44" t="n"/>
      <c r="I174" s="44" t="n"/>
      <c r="J174" s="44" t="n"/>
      <c r="K174" s="44" t="n"/>
      <c r="L174" s="41">
        <f>IF(B174="","",IF(OR(COUNTIF(Settings!$E$4:$E$9,D174)&gt;0,I174="Yes",J174="Yes",K174="Fair lending allegation"),"Escalated","Standard"))</f>
        <v/>
      </c>
      <c r="M174" s="45" t="n"/>
      <c r="N174" s="45" t="n"/>
      <c r="O174" s="42">
        <f>IF(B174="","",WORKDAY(B174,Settings!$B$7))</f>
        <v/>
      </c>
      <c r="P174" s="45" t="n"/>
      <c r="Q174" s="45" t="n"/>
      <c r="R174" s="42">
        <f>IF(B174="","",IF(Q174&lt;&gt;"",MIN(Q174,IF(L174="Escalated",B174+Settings!$B$9,WORKDAY(B174,Settings!$B$8))),IF(L174="Escalated",B174+Settings!$B$9,WORKDAY(B174,Settings!$B$8))))</f>
        <v/>
      </c>
      <c r="S174" s="45" t="n"/>
      <c r="T174" s="44" t="n"/>
      <c r="U174" s="46" t="n"/>
      <c r="V174" s="44" t="n"/>
      <c r="W174" s="44" t="n"/>
      <c r="X174" s="44" t="n"/>
      <c r="Y174" s="41">
        <f>IF(B174="","",IF(S174&lt;&gt;"",S174,Settings!$B$4)-B174)</f>
        <v/>
      </c>
      <c r="Z174" s="41">
        <f>IF(B174="","",IF(S174&lt;&gt;"",IF(S174&gt;R174,"Closed late","Closed on time"),IF(Settings!$B$4&gt;R174,"Open: overdue","Open")))</f>
        <v/>
      </c>
      <c r="AA174" s="41">
        <f>IF(B174="","",IF(NETWORKDAYS(B174,C174)-1&gt;Settings!$B$5,"Logged late",IF(AND(L174="Escalated",M174=""),"Escalate to Compliance",IF(AND(L174="Escalated",N174=""),"Notify Sponsor Bank",IF(AND(L174="Escalated",N174&lt;&gt;"",NETWORKDAYS(B174,N174)-1&gt;Settings!$B$10),"Sponsor Bank notified late",IF(AND(K174&lt;&gt;"",K174&lt;&gt;"None",Q174=""),"Enter the legal deadline",IF(AND(S174&lt;&gt;"",OR(T174="",V174="")),"Record outcome and root cause",IF(AND(P174="",S174="",Settings!$B$4&gt;O174),"Acknowledgment overdue",""))))))))</f>
        <v/>
      </c>
    </row>
    <row r="175" ht="15.75" customHeight="1" s="31">
      <c r="A175" s="44" t="n"/>
      <c r="B175" s="45" t="n"/>
      <c r="C175" s="45" t="n"/>
      <c r="D175" s="44" t="n"/>
      <c r="E175" s="44" t="n"/>
      <c r="F175" s="44" t="n"/>
      <c r="G175" s="44" t="n"/>
      <c r="H175" s="44" t="n"/>
      <c r="I175" s="44" t="n"/>
      <c r="J175" s="44" t="n"/>
      <c r="K175" s="44" t="n"/>
      <c r="L175" s="41">
        <f>IF(B175="","",IF(OR(COUNTIF(Settings!$E$4:$E$9,D175)&gt;0,I175="Yes",J175="Yes",K175="Fair lending allegation"),"Escalated","Standard"))</f>
        <v/>
      </c>
      <c r="M175" s="45" t="n"/>
      <c r="N175" s="45" t="n"/>
      <c r="O175" s="42">
        <f>IF(B175="","",WORKDAY(B175,Settings!$B$7))</f>
        <v/>
      </c>
      <c r="P175" s="45" t="n"/>
      <c r="Q175" s="45" t="n"/>
      <c r="R175" s="42">
        <f>IF(B175="","",IF(Q175&lt;&gt;"",MIN(Q175,IF(L175="Escalated",B175+Settings!$B$9,WORKDAY(B175,Settings!$B$8))),IF(L175="Escalated",B175+Settings!$B$9,WORKDAY(B175,Settings!$B$8))))</f>
        <v/>
      </c>
      <c r="S175" s="45" t="n"/>
      <c r="T175" s="44" t="n"/>
      <c r="U175" s="46" t="n"/>
      <c r="V175" s="44" t="n"/>
      <c r="W175" s="44" t="n"/>
      <c r="X175" s="44" t="n"/>
      <c r="Y175" s="41">
        <f>IF(B175="","",IF(S175&lt;&gt;"",S175,Settings!$B$4)-B175)</f>
        <v/>
      </c>
      <c r="Z175" s="41">
        <f>IF(B175="","",IF(S175&lt;&gt;"",IF(S175&gt;R175,"Closed late","Closed on time"),IF(Settings!$B$4&gt;R175,"Open: overdue","Open")))</f>
        <v/>
      </c>
      <c r="AA175" s="41">
        <f>IF(B175="","",IF(NETWORKDAYS(B175,C175)-1&gt;Settings!$B$5,"Logged late",IF(AND(L175="Escalated",M175=""),"Escalate to Compliance",IF(AND(L175="Escalated",N175=""),"Notify Sponsor Bank",IF(AND(L175="Escalated",N175&lt;&gt;"",NETWORKDAYS(B175,N175)-1&gt;Settings!$B$10),"Sponsor Bank notified late",IF(AND(K175&lt;&gt;"",K175&lt;&gt;"None",Q175=""),"Enter the legal deadline",IF(AND(S175&lt;&gt;"",OR(T175="",V175="")),"Record outcome and root cause",IF(AND(P175="",S175="",Settings!$B$4&gt;O175),"Acknowledgment overdue",""))))))))</f>
        <v/>
      </c>
    </row>
    <row r="176" ht="15.75" customHeight="1" s="31">
      <c r="A176" s="44" t="n"/>
      <c r="B176" s="45" t="n"/>
      <c r="C176" s="45" t="n"/>
      <c r="D176" s="44" t="n"/>
      <c r="E176" s="44" t="n"/>
      <c r="F176" s="44" t="n"/>
      <c r="G176" s="44" t="n"/>
      <c r="H176" s="44" t="n"/>
      <c r="I176" s="44" t="n"/>
      <c r="J176" s="44" t="n"/>
      <c r="K176" s="44" t="n"/>
      <c r="L176" s="41">
        <f>IF(B176="","",IF(OR(COUNTIF(Settings!$E$4:$E$9,D176)&gt;0,I176="Yes",J176="Yes",K176="Fair lending allegation"),"Escalated","Standard"))</f>
        <v/>
      </c>
      <c r="M176" s="45" t="n"/>
      <c r="N176" s="45" t="n"/>
      <c r="O176" s="42">
        <f>IF(B176="","",WORKDAY(B176,Settings!$B$7))</f>
        <v/>
      </c>
      <c r="P176" s="45" t="n"/>
      <c r="Q176" s="45" t="n"/>
      <c r="R176" s="42">
        <f>IF(B176="","",IF(Q176&lt;&gt;"",MIN(Q176,IF(L176="Escalated",B176+Settings!$B$9,WORKDAY(B176,Settings!$B$8))),IF(L176="Escalated",B176+Settings!$B$9,WORKDAY(B176,Settings!$B$8))))</f>
        <v/>
      </c>
      <c r="S176" s="45" t="n"/>
      <c r="T176" s="44" t="n"/>
      <c r="U176" s="46" t="n"/>
      <c r="V176" s="44" t="n"/>
      <c r="W176" s="44" t="n"/>
      <c r="X176" s="44" t="n"/>
      <c r="Y176" s="41">
        <f>IF(B176="","",IF(S176&lt;&gt;"",S176,Settings!$B$4)-B176)</f>
        <v/>
      </c>
      <c r="Z176" s="41">
        <f>IF(B176="","",IF(S176&lt;&gt;"",IF(S176&gt;R176,"Closed late","Closed on time"),IF(Settings!$B$4&gt;R176,"Open: overdue","Open")))</f>
        <v/>
      </c>
      <c r="AA176" s="41">
        <f>IF(B176="","",IF(NETWORKDAYS(B176,C176)-1&gt;Settings!$B$5,"Logged late",IF(AND(L176="Escalated",M176=""),"Escalate to Compliance",IF(AND(L176="Escalated",N176=""),"Notify Sponsor Bank",IF(AND(L176="Escalated",N176&lt;&gt;"",NETWORKDAYS(B176,N176)-1&gt;Settings!$B$10),"Sponsor Bank notified late",IF(AND(K176&lt;&gt;"",K176&lt;&gt;"None",Q176=""),"Enter the legal deadline",IF(AND(S176&lt;&gt;"",OR(T176="",V176="")),"Record outcome and root cause",IF(AND(P176="",S176="",Settings!$B$4&gt;O176),"Acknowledgment overdue",""))))))))</f>
        <v/>
      </c>
    </row>
    <row r="177" ht="15.75" customHeight="1" s="31">
      <c r="A177" s="44" t="n"/>
      <c r="B177" s="45" t="n"/>
      <c r="C177" s="45" t="n"/>
      <c r="D177" s="44" t="n"/>
      <c r="E177" s="44" t="n"/>
      <c r="F177" s="44" t="n"/>
      <c r="G177" s="44" t="n"/>
      <c r="H177" s="44" t="n"/>
      <c r="I177" s="44" t="n"/>
      <c r="J177" s="44" t="n"/>
      <c r="K177" s="44" t="n"/>
      <c r="L177" s="41">
        <f>IF(B177="","",IF(OR(COUNTIF(Settings!$E$4:$E$9,D177)&gt;0,I177="Yes",J177="Yes",K177="Fair lending allegation"),"Escalated","Standard"))</f>
        <v/>
      </c>
      <c r="M177" s="45" t="n"/>
      <c r="N177" s="45" t="n"/>
      <c r="O177" s="42">
        <f>IF(B177="","",WORKDAY(B177,Settings!$B$7))</f>
        <v/>
      </c>
      <c r="P177" s="45" t="n"/>
      <c r="Q177" s="45" t="n"/>
      <c r="R177" s="42">
        <f>IF(B177="","",IF(Q177&lt;&gt;"",MIN(Q177,IF(L177="Escalated",B177+Settings!$B$9,WORKDAY(B177,Settings!$B$8))),IF(L177="Escalated",B177+Settings!$B$9,WORKDAY(B177,Settings!$B$8))))</f>
        <v/>
      </c>
      <c r="S177" s="45" t="n"/>
      <c r="T177" s="44" t="n"/>
      <c r="U177" s="46" t="n"/>
      <c r="V177" s="44" t="n"/>
      <c r="W177" s="44" t="n"/>
      <c r="X177" s="44" t="n"/>
      <c r="Y177" s="41">
        <f>IF(B177="","",IF(S177&lt;&gt;"",S177,Settings!$B$4)-B177)</f>
        <v/>
      </c>
      <c r="Z177" s="41">
        <f>IF(B177="","",IF(S177&lt;&gt;"",IF(S177&gt;R177,"Closed late","Closed on time"),IF(Settings!$B$4&gt;R177,"Open: overdue","Open")))</f>
        <v/>
      </c>
      <c r="AA177" s="41">
        <f>IF(B177="","",IF(NETWORKDAYS(B177,C177)-1&gt;Settings!$B$5,"Logged late",IF(AND(L177="Escalated",M177=""),"Escalate to Compliance",IF(AND(L177="Escalated",N177=""),"Notify Sponsor Bank",IF(AND(L177="Escalated",N177&lt;&gt;"",NETWORKDAYS(B177,N177)-1&gt;Settings!$B$10),"Sponsor Bank notified late",IF(AND(K177&lt;&gt;"",K177&lt;&gt;"None",Q177=""),"Enter the legal deadline",IF(AND(S177&lt;&gt;"",OR(T177="",V177="")),"Record outcome and root cause",IF(AND(P177="",S177="",Settings!$B$4&gt;O177),"Acknowledgment overdue",""))))))))</f>
        <v/>
      </c>
    </row>
    <row r="178" ht="15.75" customHeight="1" s="31">
      <c r="A178" s="44" t="n"/>
      <c r="B178" s="45" t="n"/>
      <c r="C178" s="45" t="n"/>
      <c r="D178" s="44" t="n"/>
      <c r="E178" s="44" t="n"/>
      <c r="F178" s="44" t="n"/>
      <c r="G178" s="44" t="n"/>
      <c r="H178" s="44" t="n"/>
      <c r="I178" s="44" t="n"/>
      <c r="J178" s="44" t="n"/>
      <c r="K178" s="44" t="n"/>
      <c r="L178" s="41">
        <f>IF(B178="","",IF(OR(COUNTIF(Settings!$E$4:$E$9,D178)&gt;0,I178="Yes",J178="Yes",K178="Fair lending allegation"),"Escalated","Standard"))</f>
        <v/>
      </c>
      <c r="M178" s="45" t="n"/>
      <c r="N178" s="45" t="n"/>
      <c r="O178" s="42">
        <f>IF(B178="","",WORKDAY(B178,Settings!$B$7))</f>
        <v/>
      </c>
      <c r="P178" s="45" t="n"/>
      <c r="Q178" s="45" t="n"/>
      <c r="R178" s="42">
        <f>IF(B178="","",IF(Q178&lt;&gt;"",MIN(Q178,IF(L178="Escalated",B178+Settings!$B$9,WORKDAY(B178,Settings!$B$8))),IF(L178="Escalated",B178+Settings!$B$9,WORKDAY(B178,Settings!$B$8))))</f>
        <v/>
      </c>
      <c r="S178" s="45" t="n"/>
      <c r="T178" s="44" t="n"/>
      <c r="U178" s="46" t="n"/>
      <c r="V178" s="44" t="n"/>
      <c r="W178" s="44" t="n"/>
      <c r="X178" s="44" t="n"/>
      <c r="Y178" s="41">
        <f>IF(B178="","",IF(S178&lt;&gt;"",S178,Settings!$B$4)-B178)</f>
        <v/>
      </c>
      <c r="Z178" s="41">
        <f>IF(B178="","",IF(S178&lt;&gt;"",IF(S178&gt;R178,"Closed late","Closed on time"),IF(Settings!$B$4&gt;R178,"Open: overdue","Open")))</f>
        <v/>
      </c>
      <c r="AA178" s="41">
        <f>IF(B178="","",IF(NETWORKDAYS(B178,C178)-1&gt;Settings!$B$5,"Logged late",IF(AND(L178="Escalated",M178=""),"Escalate to Compliance",IF(AND(L178="Escalated",N178=""),"Notify Sponsor Bank",IF(AND(L178="Escalated",N178&lt;&gt;"",NETWORKDAYS(B178,N178)-1&gt;Settings!$B$10),"Sponsor Bank notified late",IF(AND(K178&lt;&gt;"",K178&lt;&gt;"None",Q178=""),"Enter the legal deadline",IF(AND(S178&lt;&gt;"",OR(T178="",V178="")),"Record outcome and root cause",IF(AND(P178="",S178="",Settings!$B$4&gt;O178),"Acknowledgment overdue",""))))))))</f>
        <v/>
      </c>
    </row>
    <row r="179" ht="15.75" customHeight="1" s="31">
      <c r="A179" s="44" t="n"/>
      <c r="B179" s="45" t="n"/>
      <c r="C179" s="45" t="n"/>
      <c r="D179" s="44" t="n"/>
      <c r="E179" s="44" t="n"/>
      <c r="F179" s="44" t="n"/>
      <c r="G179" s="44" t="n"/>
      <c r="H179" s="44" t="n"/>
      <c r="I179" s="44" t="n"/>
      <c r="J179" s="44" t="n"/>
      <c r="K179" s="44" t="n"/>
      <c r="L179" s="41">
        <f>IF(B179="","",IF(OR(COUNTIF(Settings!$E$4:$E$9,D179)&gt;0,I179="Yes",J179="Yes",K179="Fair lending allegation"),"Escalated","Standard"))</f>
        <v/>
      </c>
      <c r="M179" s="45" t="n"/>
      <c r="N179" s="45" t="n"/>
      <c r="O179" s="42">
        <f>IF(B179="","",WORKDAY(B179,Settings!$B$7))</f>
        <v/>
      </c>
      <c r="P179" s="45" t="n"/>
      <c r="Q179" s="45" t="n"/>
      <c r="R179" s="42">
        <f>IF(B179="","",IF(Q179&lt;&gt;"",MIN(Q179,IF(L179="Escalated",B179+Settings!$B$9,WORKDAY(B179,Settings!$B$8))),IF(L179="Escalated",B179+Settings!$B$9,WORKDAY(B179,Settings!$B$8))))</f>
        <v/>
      </c>
      <c r="S179" s="45" t="n"/>
      <c r="T179" s="44" t="n"/>
      <c r="U179" s="46" t="n"/>
      <c r="V179" s="44" t="n"/>
      <c r="W179" s="44" t="n"/>
      <c r="X179" s="44" t="n"/>
      <c r="Y179" s="41">
        <f>IF(B179="","",IF(S179&lt;&gt;"",S179,Settings!$B$4)-B179)</f>
        <v/>
      </c>
      <c r="Z179" s="41">
        <f>IF(B179="","",IF(S179&lt;&gt;"",IF(S179&gt;R179,"Closed late","Closed on time"),IF(Settings!$B$4&gt;R179,"Open: overdue","Open")))</f>
        <v/>
      </c>
      <c r="AA179" s="41">
        <f>IF(B179="","",IF(NETWORKDAYS(B179,C179)-1&gt;Settings!$B$5,"Logged late",IF(AND(L179="Escalated",M179=""),"Escalate to Compliance",IF(AND(L179="Escalated",N179=""),"Notify Sponsor Bank",IF(AND(L179="Escalated",N179&lt;&gt;"",NETWORKDAYS(B179,N179)-1&gt;Settings!$B$10),"Sponsor Bank notified late",IF(AND(K179&lt;&gt;"",K179&lt;&gt;"None",Q179=""),"Enter the legal deadline",IF(AND(S179&lt;&gt;"",OR(T179="",V179="")),"Record outcome and root cause",IF(AND(P179="",S179="",Settings!$B$4&gt;O179),"Acknowledgment overdue",""))))))))</f>
        <v/>
      </c>
    </row>
    <row r="180" ht="15.75" customHeight="1" s="31">
      <c r="A180" s="44" t="n"/>
      <c r="B180" s="45" t="n"/>
      <c r="C180" s="45" t="n"/>
      <c r="D180" s="44" t="n"/>
      <c r="E180" s="44" t="n"/>
      <c r="F180" s="44" t="n"/>
      <c r="G180" s="44" t="n"/>
      <c r="H180" s="44" t="n"/>
      <c r="I180" s="44" t="n"/>
      <c r="J180" s="44" t="n"/>
      <c r="K180" s="44" t="n"/>
      <c r="L180" s="41">
        <f>IF(B180="","",IF(OR(COUNTIF(Settings!$E$4:$E$9,D180)&gt;0,I180="Yes",J180="Yes",K180="Fair lending allegation"),"Escalated","Standard"))</f>
        <v/>
      </c>
      <c r="M180" s="45" t="n"/>
      <c r="N180" s="45" t="n"/>
      <c r="O180" s="42">
        <f>IF(B180="","",WORKDAY(B180,Settings!$B$7))</f>
        <v/>
      </c>
      <c r="P180" s="45" t="n"/>
      <c r="Q180" s="45" t="n"/>
      <c r="R180" s="42">
        <f>IF(B180="","",IF(Q180&lt;&gt;"",MIN(Q180,IF(L180="Escalated",B180+Settings!$B$9,WORKDAY(B180,Settings!$B$8))),IF(L180="Escalated",B180+Settings!$B$9,WORKDAY(B180,Settings!$B$8))))</f>
        <v/>
      </c>
      <c r="S180" s="45" t="n"/>
      <c r="T180" s="44" t="n"/>
      <c r="U180" s="46" t="n"/>
      <c r="V180" s="44" t="n"/>
      <c r="W180" s="44" t="n"/>
      <c r="X180" s="44" t="n"/>
      <c r="Y180" s="41">
        <f>IF(B180="","",IF(S180&lt;&gt;"",S180,Settings!$B$4)-B180)</f>
        <v/>
      </c>
      <c r="Z180" s="41">
        <f>IF(B180="","",IF(S180&lt;&gt;"",IF(S180&gt;R180,"Closed late","Closed on time"),IF(Settings!$B$4&gt;R180,"Open: overdue","Open")))</f>
        <v/>
      </c>
      <c r="AA180" s="41">
        <f>IF(B180="","",IF(NETWORKDAYS(B180,C180)-1&gt;Settings!$B$5,"Logged late",IF(AND(L180="Escalated",M180=""),"Escalate to Compliance",IF(AND(L180="Escalated",N180=""),"Notify Sponsor Bank",IF(AND(L180="Escalated",N180&lt;&gt;"",NETWORKDAYS(B180,N180)-1&gt;Settings!$B$10),"Sponsor Bank notified late",IF(AND(K180&lt;&gt;"",K180&lt;&gt;"None",Q180=""),"Enter the legal deadline",IF(AND(S180&lt;&gt;"",OR(T180="",V180="")),"Record outcome and root cause",IF(AND(P180="",S180="",Settings!$B$4&gt;O180),"Acknowledgment overdue",""))))))))</f>
        <v/>
      </c>
    </row>
    <row r="181" ht="15.75" customHeight="1" s="31">
      <c r="A181" s="44" t="n"/>
      <c r="B181" s="45" t="n"/>
      <c r="C181" s="45" t="n"/>
      <c r="D181" s="44" t="n"/>
      <c r="E181" s="44" t="n"/>
      <c r="F181" s="44" t="n"/>
      <c r="G181" s="44" t="n"/>
      <c r="H181" s="44" t="n"/>
      <c r="I181" s="44" t="n"/>
      <c r="J181" s="44" t="n"/>
      <c r="K181" s="44" t="n"/>
      <c r="L181" s="41">
        <f>IF(B181="","",IF(OR(COUNTIF(Settings!$E$4:$E$9,D181)&gt;0,I181="Yes",J181="Yes",K181="Fair lending allegation"),"Escalated","Standard"))</f>
        <v/>
      </c>
      <c r="M181" s="45" t="n"/>
      <c r="N181" s="45" t="n"/>
      <c r="O181" s="42">
        <f>IF(B181="","",WORKDAY(B181,Settings!$B$7))</f>
        <v/>
      </c>
      <c r="P181" s="45" t="n"/>
      <c r="Q181" s="45" t="n"/>
      <c r="R181" s="42">
        <f>IF(B181="","",IF(Q181&lt;&gt;"",MIN(Q181,IF(L181="Escalated",B181+Settings!$B$9,WORKDAY(B181,Settings!$B$8))),IF(L181="Escalated",B181+Settings!$B$9,WORKDAY(B181,Settings!$B$8))))</f>
        <v/>
      </c>
      <c r="S181" s="45" t="n"/>
      <c r="T181" s="44" t="n"/>
      <c r="U181" s="46" t="n"/>
      <c r="V181" s="44" t="n"/>
      <c r="W181" s="44" t="n"/>
      <c r="X181" s="44" t="n"/>
      <c r="Y181" s="41">
        <f>IF(B181="","",IF(S181&lt;&gt;"",S181,Settings!$B$4)-B181)</f>
        <v/>
      </c>
      <c r="Z181" s="41">
        <f>IF(B181="","",IF(S181&lt;&gt;"",IF(S181&gt;R181,"Closed late","Closed on time"),IF(Settings!$B$4&gt;R181,"Open: overdue","Open")))</f>
        <v/>
      </c>
      <c r="AA181" s="41">
        <f>IF(B181="","",IF(NETWORKDAYS(B181,C181)-1&gt;Settings!$B$5,"Logged late",IF(AND(L181="Escalated",M181=""),"Escalate to Compliance",IF(AND(L181="Escalated",N181=""),"Notify Sponsor Bank",IF(AND(L181="Escalated",N181&lt;&gt;"",NETWORKDAYS(B181,N181)-1&gt;Settings!$B$10),"Sponsor Bank notified late",IF(AND(K181&lt;&gt;"",K181&lt;&gt;"None",Q181=""),"Enter the legal deadline",IF(AND(S181&lt;&gt;"",OR(T181="",V181="")),"Record outcome and root cause",IF(AND(P181="",S181="",Settings!$B$4&gt;O181),"Acknowledgment overdue",""))))))))</f>
        <v/>
      </c>
    </row>
    <row r="182" ht="15.75" customHeight="1" s="31">
      <c r="A182" s="44" t="n"/>
      <c r="B182" s="45" t="n"/>
      <c r="C182" s="45" t="n"/>
      <c r="D182" s="44" t="n"/>
      <c r="E182" s="44" t="n"/>
      <c r="F182" s="44" t="n"/>
      <c r="G182" s="44" t="n"/>
      <c r="H182" s="44" t="n"/>
      <c r="I182" s="44" t="n"/>
      <c r="J182" s="44" t="n"/>
      <c r="K182" s="44" t="n"/>
      <c r="L182" s="41">
        <f>IF(B182="","",IF(OR(COUNTIF(Settings!$E$4:$E$9,D182)&gt;0,I182="Yes",J182="Yes",K182="Fair lending allegation"),"Escalated","Standard"))</f>
        <v/>
      </c>
      <c r="M182" s="45" t="n"/>
      <c r="N182" s="45" t="n"/>
      <c r="O182" s="42">
        <f>IF(B182="","",WORKDAY(B182,Settings!$B$7))</f>
        <v/>
      </c>
      <c r="P182" s="45" t="n"/>
      <c r="Q182" s="45" t="n"/>
      <c r="R182" s="42">
        <f>IF(B182="","",IF(Q182&lt;&gt;"",MIN(Q182,IF(L182="Escalated",B182+Settings!$B$9,WORKDAY(B182,Settings!$B$8))),IF(L182="Escalated",B182+Settings!$B$9,WORKDAY(B182,Settings!$B$8))))</f>
        <v/>
      </c>
      <c r="S182" s="45" t="n"/>
      <c r="T182" s="44" t="n"/>
      <c r="U182" s="46" t="n"/>
      <c r="V182" s="44" t="n"/>
      <c r="W182" s="44" t="n"/>
      <c r="X182" s="44" t="n"/>
      <c r="Y182" s="41">
        <f>IF(B182="","",IF(S182&lt;&gt;"",S182,Settings!$B$4)-B182)</f>
        <v/>
      </c>
      <c r="Z182" s="41">
        <f>IF(B182="","",IF(S182&lt;&gt;"",IF(S182&gt;R182,"Closed late","Closed on time"),IF(Settings!$B$4&gt;R182,"Open: overdue","Open")))</f>
        <v/>
      </c>
      <c r="AA182" s="41">
        <f>IF(B182="","",IF(NETWORKDAYS(B182,C182)-1&gt;Settings!$B$5,"Logged late",IF(AND(L182="Escalated",M182=""),"Escalate to Compliance",IF(AND(L182="Escalated",N182=""),"Notify Sponsor Bank",IF(AND(L182="Escalated",N182&lt;&gt;"",NETWORKDAYS(B182,N182)-1&gt;Settings!$B$10),"Sponsor Bank notified late",IF(AND(K182&lt;&gt;"",K182&lt;&gt;"None",Q182=""),"Enter the legal deadline",IF(AND(S182&lt;&gt;"",OR(T182="",V182="")),"Record outcome and root cause",IF(AND(P182="",S182="",Settings!$B$4&gt;O182),"Acknowledgment overdue",""))))))))</f>
        <v/>
      </c>
    </row>
    <row r="183" ht="15.75" customHeight="1" s="31">
      <c r="A183" s="44" t="n"/>
      <c r="B183" s="45" t="n"/>
      <c r="C183" s="45" t="n"/>
      <c r="D183" s="44" t="n"/>
      <c r="E183" s="44" t="n"/>
      <c r="F183" s="44" t="n"/>
      <c r="G183" s="44" t="n"/>
      <c r="H183" s="44" t="n"/>
      <c r="I183" s="44" t="n"/>
      <c r="J183" s="44" t="n"/>
      <c r="K183" s="44" t="n"/>
      <c r="L183" s="41">
        <f>IF(B183="","",IF(OR(COUNTIF(Settings!$E$4:$E$9,D183)&gt;0,I183="Yes",J183="Yes",K183="Fair lending allegation"),"Escalated","Standard"))</f>
        <v/>
      </c>
      <c r="M183" s="45" t="n"/>
      <c r="N183" s="45" t="n"/>
      <c r="O183" s="42">
        <f>IF(B183="","",WORKDAY(B183,Settings!$B$7))</f>
        <v/>
      </c>
      <c r="P183" s="45" t="n"/>
      <c r="Q183" s="45" t="n"/>
      <c r="R183" s="42">
        <f>IF(B183="","",IF(Q183&lt;&gt;"",MIN(Q183,IF(L183="Escalated",B183+Settings!$B$9,WORKDAY(B183,Settings!$B$8))),IF(L183="Escalated",B183+Settings!$B$9,WORKDAY(B183,Settings!$B$8))))</f>
        <v/>
      </c>
      <c r="S183" s="45" t="n"/>
      <c r="T183" s="44" t="n"/>
      <c r="U183" s="46" t="n"/>
      <c r="V183" s="44" t="n"/>
      <c r="W183" s="44" t="n"/>
      <c r="X183" s="44" t="n"/>
      <c r="Y183" s="41">
        <f>IF(B183="","",IF(S183&lt;&gt;"",S183,Settings!$B$4)-B183)</f>
        <v/>
      </c>
      <c r="Z183" s="41">
        <f>IF(B183="","",IF(S183&lt;&gt;"",IF(S183&gt;R183,"Closed late","Closed on time"),IF(Settings!$B$4&gt;R183,"Open: overdue","Open")))</f>
        <v/>
      </c>
      <c r="AA183" s="41">
        <f>IF(B183="","",IF(NETWORKDAYS(B183,C183)-1&gt;Settings!$B$5,"Logged late",IF(AND(L183="Escalated",M183=""),"Escalate to Compliance",IF(AND(L183="Escalated",N183=""),"Notify Sponsor Bank",IF(AND(L183="Escalated",N183&lt;&gt;"",NETWORKDAYS(B183,N183)-1&gt;Settings!$B$10),"Sponsor Bank notified late",IF(AND(K183&lt;&gt;"",K183&lt;&gt;"None",Q183=""),"Enter the legal deadline",IF(AND(S183&lt;&gt;"",OR(T183="",V183="")),"Record outcome and root cause",IF(AND(P183="",S183="",Settings!$B$4&gt;O183),"Acknowledgment overdue",""))))))))</f>
        <v/>
      </c>
    </row>
    <row r="184" ht="15.75" customHeight="1" s="31">
      <c r="A184" s="44" t="n"/>
      <c r="B184" s="45" t="n"/>
      <c r="C184" s="45" t="n"/>
      <c r="D184" s="44" t="n"/>
      <c r="E184" s="44" t="n"/>
      <c r="F184" s="44" t="n"/>
      <c r="G184" s="44" t="n"/>
      <c r="H184" s="44" t="n"/>
      <c r="I184" s="44" t="n"/>
      <c r="J184" s="44" t="n"/>
      <c r="K184" s="44" t="n"/>
      <c r="L184" s="41">
        <f>IF(B184="","",IF(OR(COUNTIF(Settings!$E$4:$E$9,D184)&gt;0,I184="Yes",J184="Yes",K184="Fair lending allegation"),"Escalated","Standard"))</f>
        <v/>
      </c>
      <c r="M184" s="45" t="n"/>
      <c r="N184" s="45" t="n"/>
      <c r="O184" s="42">
        <f>IF(B184="","",WORKDAY(B184,Settings!$B$7))</f>
        <v/>
      </c>
      <c r="P184" s="45" t="n"/>
      <c r="Q184" s="45" t="n"/>
      <c r="R184" s="42">
        <f>IF(B184="","",IF(Q184&lt;&gt;"",MIN(Q184,IF(L184="Escalated",B184+Settings!$B$9,WORKDAY(B184,Settings!$B$8))),IF(L184="Escalated",B184+Settings!$B$9,WORKDAY(B184,Settings!$B$8))))</f>
        <v/>
      </c>
      <c r="S184" s="45" t="n"/>
      <c r="T184" s="44" t="n"/>
      <c r="U184" s="46" t="n"/>
      <c r="V184" s="44" t="n"/>
      <c r="W184" s="44" t="n"/>
      <c r="X184" s="44" t="n"/>
      <c r="Y184" s="41">
        <f>IF(B184="","",IF(S184&lt;&gt;"",S184,Settings!$B$4)-B184)</f>
        <v/>
      </c>
      <c r="Z184" s="41">
        <f>IF(B184="","",IF(S184&lt;&gt;"",IF(S184&gt;R184,"Closed late","Closed on time"),IF(Settings!$B$4&gt;R184,"Open: overdue","Open")))</f>
        <v/>
      </c>
      <c r="AA184" s="41">
        <f>IF(B184="","",IF(NETWORKDAYS(B184,C184)-1&gt;Settings!$B$5,"Logged late",IF(AND(L184="Escalated",M184=""),"Escalate to Compliance",IF(AND(L184="Escalated",N184=""),"Notify Sponsor Bank",IF(AND(L184="Escalated",N184&lt;&gt;"",NETWORKDAYS(B184,N184)-1&gt;Settings!$B$10),"Sponsor Bank notified late",IF(AND(K184&lt;&gt;"",K184&lt;&gt;"None",Q184=""),"Enter the legal deadline",IF(AND(S184&lt;&gt;"",OR(T184="",V184="")),"Record outcome and root cause",IF(AND(P184="",S184="",Settings!$B$4&gt;O184),"Acknowledgment overdue",""))))))))</f>
        <v/>
      </c>
    </row>
    <row r="185" ht="15.75" customHeight="1" s="31">
      <c r="A185" s="44" t="n"/>
      <c r="B185" s="45" t="n"/>
      <c r="C185" s="45" t="n"/>
      <c r="D185" s="44" t="n"/>
      <c r="E185" s="44" t="n"/>
      <c r="F185" s="44" t="n"/>
      <c r="G185" s="44" t="n"/>
      <c r="H185" s="44" t="n"/>
      <c r="I185" s="44" t="n"/>
      <c r="J185" s="44" t="n"/>
      <c r="K185" s="44" t="n"/>
      <c r="L185" s="41">
        <f>IF(B185="","",IF(OR(COUNTIF(Settings!$E$4:$E$9,D185)&gt;0,I185="Yes",J185="Yes",K185="Fair lending allegation"),"Escalated","Standard"))</f>
        <v/>
      </c>
      <c r="M185" s="45" t="n"/>
      <c r="N185" s="45" t="n"/>
      <c r="O185" s="42">
        <f>IF(B185="","",WORKDAY(B185,Settings!$B$7))</f>
        <v/>
      </c>
      <c r="P185" s="45" t="n"/>
      <c r="Q185" s="45" t="n"/>
      <c r="R185" s="42">
        <f>IF(B185="","",IF(Q185&lt;&gt;"",MIN(Q185,IF(L185="Escalated",B185+Settings!$B$9,WORKDAY(B185,Settings!$B$8))),IF(L185="Escalated",B185+Settings!$B$9,WORKDAY(B185,Settings!$B$8))))</f>
        <v/>
      </c>
      <c r="S185" s="45" t="n"/>
      <c r="T185" s="44" t="n"/>
      <c r="U185" s="46" t="n"/>
      <c r="V185" s="44" t="n"/>
      <c r="W185" s="44" t="n"/>
      <c r="X185" s="44" t="n"/>
      <c r="Y185" s="41">
        <f>IF(B185="","",IF(S185&lt;&gt;"",S185,Settings!$B$4)-B185)</f>
        <v/>
      </c>
      <c r="Z185" s="41">
        <f>IF(B185="","",IF(S185&lt;&gt;"",IF(S185&gt;R185,"Closed late","Closed on time"),IF(Settings!$B$4&gt;R185,"Open: overdue","Open")))</f>
        <v/>
      </c>
      <c r="AA185" s="41">
        <f>IF(B185="","",IF(NETWORKDAYS(B185,C185)-1&gt;Settings!$B$5,"Logged late",IF(AND(L185="Escalated",M185=""),"Escalate to Compliance",IF(AND(L185="Escalated",N185=""),"Notify Sponsor Bank",IF(AND(L185="Escalated",N185&lt;&gt;"",NETWORKDAYS(B185,N185)-1&gt;Settings!$B$10),"Sponsor Bank notified late",IF(AND(K185&lt;&gt;"",K185&lt;&gt;"None",Q185=""),"Enter the legal deadline",IF(AND(S185&lt;&gt;"",OR(T185="",V185="")),"Record outcome and root cause",IF(AND(P185="",S185="",Settings!$B$4&gt;O185),"Acknowledgment overdue",""))))))))</f>
        <v/>
      </c>
    </row>
    <row r="186" ht="15.75" customHeight="1" s="31">
      <c r="A186" s="44" t="n"/>
      <c r="B186" s="45" t="n"/>
      <c r="C186" s="45" t="n"/>
      <c r="D186" s="44" t="n"/>
      <c r="E186" s="44" t="n"/>
      <c r="F186" s="44" t="n"/>
      <c r="G186" s="44" t="n"/>
      <c r="H186" s="44" t="n"/>
      <c r="I186" s="44" t="n"/>
      <c r="J186" s="44" t="n"/>
      <c r="K186" s="44" t="n"/>
      <c r="L186" s="41">
        <f>IF(B186="","",IF(OR(COUNTIF(Settings!$E$4:$E$9,D186)&gt;0,I186="Yes",J186="Yes",K186="Fair lending allegation"),"Escalated","Standard"))</f>
        <v/>
      </c>
      <c r="M186" s="45" t="n"/>
      <c r="N186" s="45" t="n"/>
      <c r="O186" s="42">
        <f>IF(B186="","",WORKDAY(B186,Settings!$B$7))</f>
        <v/>
      </c>
      <c r="P186" s="45" t="n"/>
      <c r="Q186" s="45" t="n"/>
      <c r="R186" s="42">
        <f>IF(B186="","",IF(Q186&lt;&gt;"",MIN(Q186,IF(L186="Escalated",B186+Settings!$B$9,WORKDAY(B186,Settings!$B$8))),IF(L186="Escalated",B186+Settings!$B$9,WORKDAY(B186,Settings!$B$8))))</f>
        <v/>
      </c>
      <c r="S186" s="45" t="n"/>
      <c r="T186" s="44" t="n"/>
      <c r="U186" s="46" t="n"/>
      <c r="V186" s="44" t="n"/>
      <c r="W186" s="44" t="n"/>
      <c r="X186" s="44" t="n"/>
      <c r="Y186" s="41">
        <f>IF(B186="","",IF(S186&lt;&gt;"",S186,Settings!$B$4)-B186)</f>
        <v/>
      </c>
      <c r="Z186" s="41">
        <f>IF(B186="","",IF(S186&lt;&gt;"",IF(S186&gt;R186,"Closed late","Closed on time"),IF(Settings!$B$4&gt;R186,"Open: overdue","Open")))</f>
        <v/>
      </c>
      <c r="AA186" s="41">
        <f>IF(B186="","",IF(NETWORKDAYS(B186,C186)-1&gt;Settings!$B$5,"Logged late",IF(AND(L186="Escalated",M186=""),"Escalate to Compliance",IF(AND(L186="Escalated",N186=""),"Notify Sponsor Bank",IF(AND(L186="Escalated",N186&lt;&gt;"",NETWORKDAYS(B186,N186)-1&gt;Settings!$B$10),"Sponsor Bank notified late",IF(AND(K186&lt;&gt;"",K186&lt;&gt;"None",Q186=""),"Enter the legal deadline",IF(AND(S186&lt;&gt;"",OR(T186="",V186="")),"Record outcome and root cause",IF(AND(P186="",S186="",Settings!$B$4&gt;O186),"Acknowledgment overdue",""))))))))</f>
        <v/>
      </c>
    </row>
    <row r="187" ht="15.75" customHeight="1" s="31">
      <c r="A187" s="44" t="n"/>
      <c r="B187" s="45" t="n"/>
      <c r="C187" s="45" t="n"/>
      <c r="D187" s="44" t="n"/>
      <c r="E187" s="44" t="n"/>
      <c r="F187" s="44" t="n"/>
      <c r="G187" s="44" t="n"/>
      <c r="H187" s="44" t="n"/>
      <c r="I187" s="44" t="n"/>
      <c r="J187" s="44" t="n"/>
      <c r="K187" s="44" t="n"/>
      <c r="L187" s="41">
        <f>IF(B187="","",IF(OR(COUNTIF(Settings!$E$4:$E$9,D187)&gt;0,I187="Yes",J187="Yes",K187="Fair lending allegation"),"Escalated","Standard"))</f>
        <v/>
      </c>
      <c r="M187" s="45" t="n"/>
      <c r="N187" s="45" t="n"/>
      <c r="O187" s="42">
        <f>IF(B187="","",WORKDAY(B187,Settings!$B$7))</f>
        <v/>
      </c>
      <c r="P187" s="45" t="n"/>
      <c r="Q187" s="45" t="n"/>
      <c r="R187" s="42">
        <f>IF(B187="","",IF(Q187&lt;&gt;"",MIN(Q187,IF(L187="Escalated",B187+Settings!$B$9,WORKDAY(B187,Settings!$B$8))),IF(L187="Escalated",B187+Settings!$B$9,WORKDAY(B187,Settings!$B$8))))</f>
        <v/>
      </c>
      <c r="S187" s="45" t="n"/>
      <c r="T187" s="44" t="n"/>
      <c r="U187" s="46" t="n"/>
      <c r="V187" s="44" t="n"/>
      <c r="W187" s="44" t="n"/>
      <c r="X187" s="44" t="n"/>
      <c r="Y187" s="41">
        <f>IF(B187="","",IF(S187&lt;&gt;"",S187,Settings!$B$4)-B187)</f>
        <v/>
      </c>
      <c r="Z187" s="41">
        <f>IF(B187="","",IF(S187&lt;&gt;"",IF(S187&gt;R187,"Closed late","Closed on time"),IF(Settings!$B$4&gt;R187,"Open: overdue","Open")))</f>
        <v/>
      </c>
      <c r="AA187" s="41">
        <f>IF(B187="","",IF(NETWORKDAYS(B187,C187)-1&gt;Settings!$B$5,"Logged late",IF(AND(L187="Escalated",M187=""),"Escalate to Compliance",IF(AND(L187="Escalated",N187=""),"Notify Sponsor Bank",IF(AND(L187="Escalated",N187&lt;&gt;"",NETWORKDAYS(B187,N187)-1&gt;Settings!$B$10),"Sponsor Bank notified late",IF(AND(K187&lt;&gt;"",K187&lt;&gt;"None",Q187=""),"Enter the legal deadline",IF(AND(S187&lt;&gt;"",OR(T187="",V187="")),"Record outcome and root cause",IF(AND(P187="",S187="",Settings!$B$4&gt;O187),"Acknowledgment overdue",""))))))))</f>
        <v/>
      </c>
    </row>
    <row r="188" ht="15.75" customHeight="1" s="31">
      <c r="A188" s="44" t="n"/>
      <c r="B188" s="45" t="n"/>
      <c r="C188" s="45" t="n"/>
      <c r="D188" s="44" t="n"/>
      <c r="E188" s="44" t="n"/>
      <c r="F188" s="44" t="n"/>
      <c r="G188" s="44" t="n"/>
      <c r="H188" s="44" t="n"/>
      <c r="I188" s="44" t="n"/>
      <c r="J188" s="44" t="n"/>
      <c r="K188" s="44" t="n"/>
      <c r="L188" s="41">
        <f>IF(B188="","",IF(OR(COUNTIF(Settings!$E$4:$E$9,D188)&gt;0,I188="Yes",J188="Yes",K188="Fair lending allegation"),"Escalated","Standard"))</f>
        <v/>
      </c>
      <c r="M188" s="45" t="n"/>
      <c r="N188" s="45" t="n"/>
      <c r="O188" s="42">
        <f>IF(B188="","",WORKDAY(B188,Settings!$B$7))</f>
        <v/>
      </c>
      <c r="P188" s="45" t="n"/>
      <c r="Q188" s="45" t="n"/>
      <c r="R188" s="42">
        <f>IF(B188="","",IF(Q188&lt;&gt;"",MIN(Q188,IF(L188="Escalated",B188+Settings!$B$9,WORKDAY(B188,Settings!$B$8))),IF(L188="Escalated",B188+Settings!$B$9,WORKDAY(B188,Settings!$B$8))))</f>
        <v/>
      </c>
      <c r="S188" s="45" t="n"/>
      <c r="T188" s="44" t="n"/>
      <c r="U188" s="46" t="n"/>
      <c r="V188" s="44" t="n"/>
      <c r="W188" s="44" t="n"/>
      <c r="X188" s="44" t="n"/>
      <c r="Y188" s="41">
        <f>IF(B188="","",IF(S188&lt;&gt;"",S188,Settings!$B$4)-B188)</f>
        <v/>
      </c>
      <c r="Z188" s="41">
        <f>IF(B188="","",IF(S188&lt;&gt;"",IF(S188&gt;R188,"Closed late","Closed on time"),IF(Settings!$B$4&gt;R188,"Open: overdue","Open")))</f>
        <v/>
      </c>
      <c r="AA188" s="41">
        <f>IF(B188="","",IF(NETWORKDAYS(B188,C188)-1&gt;Settings!$B$5,"Logged late",IF(AND(L188="Escalated",M188=""),"Escalate to Compliance",IF(AND(L188="Escalated",N188=""),"Notify Sponsor Bank",IF(AND(L188="Escalated",N188&lt;&gt;"",NETWORKDAYS(B188,N188)-1&gt;Settings!$B$10),"Sponsor Bank notified late",IF(AND(K188&lt;&gt;"",K188&lt;&gt;"None",Q188=""),"Enter the legal deadline",IF(AND(S188&lt;&gt;"",OR(T188="",V188="")),"Record outcome and root cause",IF(AND(P188="",S188="",Settings!$B$4&gt;O188),"Acknowledgment overdue",""))))))))</f>
        <v/>
      </c>
    </row>
    <row r="189" ht="15.75" customHeight="1" s="31">
      <c r="A189" s="44" t="n"/>
      <c r="B189" s="45" t="n"/>
      <c r="C189" s="45" t="n"/>
      <c r="D189" s="44" t="n"/>
      <c r="E189" s="44" t="n"/>
      <c r="F189" s="44" t="n"/>
      <c r="G189" s="44" t="n"/>
      <c r="H189" s="44" t="n"/>
      <c r="I189" s="44" t="n"/>
      <c r="J189" s="44" t="n"/>
      <c r="K189" s="44" t="n"/>
      <c r="L189" s="41">
        <f>IF(B189="","",IF(OR(COUNTIF(Settings!$E$4:$E$9,D189)&gt;0,I189="Yes",J189="Yes",K189="Fair lending allegation"),"Escalated","Standard"))</f>
        <v/>
      </c>
      <c r="M189" s="45" t="n"/>
      <c r="N189" s="45" t="n"/>
      <c r="O189" s="42">
        <f>IF(B189="","",WORKDAY(B189,Settings!$B$7))</f>
        <v/>
      </c>
      <c r="P189" s="45" t="n"/>
      <c r="Q189" s="45" t="n"/>
      <c r="R189" s="42">
        <f>IF(B189="","",IF(Q189&lt;&gt;"",MIN(Q189,IF(L189="Escalated",B189+Settings!$B$9,WORKDAY(B189,Settings!$B$8))),IF(L189="Escalated",B189+Settings!$B$9,WORKDAY(B189,Settings!$B$8))))</f>
        <v/>
      </c>
      <c r="S189" s="45" t="n"/>
      <c r="T189" s="44" t="n"/>
      <c r="U189" s="46" t="n"/>
      <c r="V189" s="44" t="n"/>
      <c r="W189" s="44" t="n"/>
      <c r="X189" s="44" t="n"/>
      <c r="Y189" s="41">
        <f>IF(B189="","",IF(S189&lt;&gt;"",S189,Settings!$B$4)-B189)</f>
        <v/>
      </c>
      <c r="Z189" s="41">
        <f>IF(B189="","",IF(S189&lt;&gt;"",IF(S189&gt;R189,"Closed late","Closed on time"),IF(Settings!$B$4&gt;R189,"Open: overdue","Open")))</f>
        <v/>
      </c>
      <c r="AA189" s="41">
        <f>IF(B189="","",IF(NETWORKDAYS(B189,C189)-1&gt;Settings!$B$5,"Logged late",IF(AND(L189="Escalated",M189=""),"Escalate to Compliance",IF(AND(L189="Escalated",N189=""),"Notify Sponsor Bank",IF(AND(L189="Escalated",N189&lt;&gt;"",NETWORKDAYS(B189,N189)-1&gt;Settings!$B$10),"Sponsor Bank notified late",IF(AND(K189&lt;&gt;"",K189&lt;&gt;"None",Q189=""),"Enter the legal deadline",IF(AND(S189&lt;&gt;"",OR(T189="",V189="")),"Record outcome and root cause",IF(AND(P189="",S189="",Settings!$B$4&gt;O189),"Acknowledgment overdue",""))))))))</f>
        <v/>
      </c>
    </row>
    <row r="190" ht="15.75" customHeight="1" s="31">
      <c r="A190" s="44" t="n"/>
      <c r="B190" s="45" t="n"/>
      <c r="C190" s="45" t="n"/>
      <c r="D190" s="44" t="n"/>
      <c r="E190" s="44" t="n"/>
      <c r="F190" s="44" t="n"/>
      <c r="G190" s="44" t="n"/>
      <c r="H190" s="44" t="n"/>
      <c r="I190" s="44" t="n"/>
      <c r="J190" s="44" t="n"/>
      <c r="K190" s="44" t="n"/>
      <c r="L190" s="41">
        <f>IF(B190="","",IF(OR(COUNTIF(Settings!$E$4:$E$9,D190)&gt;0,I190="Yes",J190="Yes",K190="Fair lending allegation"),"Escalated","Standard"))</f>
        <v/>
      </c>
      <c r="M190" s="45" t="n"/>
      <c r="N190" s="45" t="n"/>
      <c r="O190" s="42">
        <f>IF(B190="","",WORKDAY(B190,Settings!$B$7))</f>
        <v/>
      </c>
      <c r="P190" s="45" t="n"/>
      <c r="Q190" s="45" t="n"/>
      <c r="R190" s="42">
        <f>IF(B190="","",IF(Q190&lt;&gt;"",MIN(Q190,IF(L190="Escalated",B190+Settings!$B$9,WORKDAY(B190,Settings!$B$8))),IF(L190="Escalated",B190+Settings!$B$9,WORKDAY(B190,Settings!$B$8))))</f>
        <v/>
      </c>
      <c r="S190" s="45" t="n"/>
      <c r="T190" s="44" t="n"/>
      <c r="U190" s="46" t="n"/>
      <c r="V190" s="44" t="n"/>
      <c r="W190" s="44" t="n"/>
      <c r="X190" s="44" t="n"/>
      <c r="Y190" s="41">
        <f>IF(B190="","",IF(S190&lt;&gt;"",S190,Settings!$B$4)-B190)</f>
        <v/>
      </c>
      <c r="Z190" s="41">
        <f>IF(B190="","",IF(S190&lt;&gt;"",IF(S190&gt;R190,"Closed late","Closed on time"),IF(Settings!$B$4&gt;R190,"Open: overdue","Open")))</f>
        <v/>
      </c>
      <c r="AA190" s="41">
        <f>IF(B190="","",IF(NETWORKDAYS(B190,C190)-1&gt;Settings!$B$5,"Logged late",IF(AND(L190="Escalated",M190=""),"Escalate to Compliance",IF(AND(L190="Escalated",N190=""),"Notify Sponsor Bank",IF(AND(L190="Escalated",N190&lt;&gt;"",NETWORKDAYS(B190,N190)-1&gt;Settings!$B$10),"Sponsor Bank notified late",IF(AND(K190&lt;&gt;"",K190&lt;&gt;"None",Q190=""),"Enter the legal deadline",IF(AND(S190&lt;&gt;"",OR(T190="",V190="")),"Record outcome and root cause",IF(AND(P190="",S190="",Settings!$B$4&gt;O190),"Acknowledgment overdue",""))))))))</f>
        <v/>
      </c>
    </row>
    <row r="191" ht="15.75" customHeight="1" s="31">
      <c r="A191" s="44" t="n"/>
      <c r="B191" s="45" t="n"/>
      <c r="C191" s="45" t="n"/>
      <c r="D191" s="44" t="n"/>
      <c r="E191" s="44" t="n"/>
      <c r="F191" s="44" t="n"/>
      <c r="G191" s="44" t="n"/>
      <c r="H191" s="44" t="n"/>
      <c r="I191" s="44" t="n"/>
      <c r="J191" s="44" t="n"/>
      <c r="K191" s="44" t="n"/>
      <c r="L191" s="41">
        <f>IF(B191="","",IF(OR(COUNTIF(Settings!$E$4:$E$9,D191)&gt;0,I191="Yes",J191="Yes",K191="Fair lending allegation"),"Escalated","Standard"))</f>
        <v/>
      </c>
      <c r="M191" s="45" t="n"/>
      <c r="N191" s="45" t="n"/>
      <c r="O191" s="42">
        <f>IF(B191="","",WORKDAY(B191,Settings!$B$7))</f>
        <v/>
      </c>
      <c r="P191" s="45" t="n"/>
      <c r="Q191" s="45" t="n"/>
      <c r="R191" s="42">
        <f>IF(B191="","",IF(Q191&lt;&gt;"",MIN(Q191,IF(L191="Escalated",B191+Settings!$B$9,WORKDAY(B191,Settings!$B$8))),IF(L191="Escalated",B191+Settings!$B$9,WORKDAY(B191,Settings!$B$8))))</f>
        <v/>
      </c>
      <c r="S191" s="45" t="n"/>
      <c r="T191" s="44" t="n"/>
      <c r="U191" s="46" t="n"/>
      <c r="V191" s="44" t="n"/>
      <c r="W191" s="44" t="n"/>
      <c r="X191" s="44" t="n"/>
      <c r="Y191" s="41">
        <f>IF(B191="","",IF(S191&lt;&gt;"",S191,Settings!$B$4)-B191)</f>
        <v/>
      </c>
      <c r="Z191" s="41">
        <f>IF(B191="","",IF(S191&lt;&gt;"",IF(S191&gt;R191,"Closed late","Closed on time"),IF(Settings!$B$4&gt;R191,"Open: overdue","Open")))</f>
        <v/>
      </c>
      <c r="AA191" s="41">
        <f>IF(B191="","",IF(NETWORKDAYS(B191,C191)-1&gt;Settings!$B$5,"Logged late",IF(AND(L191="Escalated",M191=""),"Escalate to Compliance",IF(AND(L191="Escalated",N191=""),"Notify Sponsor Bank",IF(AND(L191="Escalated",N191&lt;&gt;"",NETWORKDAYS(B191,N191)-1&gt;Settings!$B$10),"Sponsor Bank notified late",IF(AND(K191&lt;&gt;"",K191&lt;&gt;"None",Q191=""),"Enter the legal deadline",IF(AND(S191&lt;&gt;"",OR(T191="",V191="")),"Record outcome and root cause",IF(AND(P191="",S191="",Settings!$B$4&gt;O191),"Acknowledgment overdue",""))))))))</f>
        <v/>
      </c>
    </row>
    <row r="192" ht="15.75" customHeight="1" s="31">
      <c r="A192" s="44" t="n"/>
      <c r="B192" s="45" t="n"/>
      <c r="C192" s="45" t="n"/>
      <c r="D192" s="44" t="n"/>
      <c r="E192" s="44" t="n"/>
      <c r="F192" s="44" t="n"/>
      <c r="G192" s="44" t="n"/>
      <c r="H192" s="44" t="n"/>
      <c r="I192" s="44" t="n"/>
      <c r="J192" s="44" t="n"/>
      <c r="K192" s="44" t="n"/>
      <c r="L192" s="41">
        <f>IF(B192="","",IF(OR(COUNTIF(Settings!$E$4:$E$9,D192)&gt;0,I192="Yes",J192="Yes",K192="Fair lending allegation"),"Escalated","Standard"))</f>
        <v/>
      </c>
      <c r="M192" s="45" t="n"/>
      <c r="N192" s="45" t="n"/>
      <c r="O192" s="42">
        <f>IF(B192="","",WORKDAY(B192,Settings!$B$7))</f>
        <v/>
      </c>
      <c r="P192" s="45" t="n"/>
      <c r="Q192" s="45" t="n"/>
      <c r="R192" s="42">
        <f>IF(B192="","",IF(Q192&lt;&gt;"",MIN(Q192,IF(L192="Escalated",B192+Settings!$B$9,WORKDAY(B192,Settings!$B$8))),IF(L192="Escalated",B192+Settings!$B$9,WORKDAY(B192,Settings!$B$8))))</f>
        <v/>
      </c>
      <c r="S192" s="45" t="n"/>
      <c r="T192" s="44" t="n"/>
      <c r="U192" s="46" t="n"/>
      <c r="V192" s="44" t="n"/>
      <c r="W192" s="44" t="n"/>
      <c r="X192" s="44" t="n"/>
      <c r="Y192" s="41">
        <f>IF(B192="","",IF(S192&lt;&gt;"",S192,Settings!$B$4)-B192)</f>
        <v/>
      </c>
      <c r="Z192" s="41">
        <f>IF(B192="","",IF(S192&lt;&gt;"",IF(S192&gt;R192,"Closed late","Closed on time"),IF(Settings!$B$4&gt;R192,"Open: overdue","Open")))</f>
        <v/>
      </c>
      <c r="AA192" s="41">
        <f>IF(B192="","",IF(NETWORKDAYS(B192,C192)-1&gt;Settings!$B$5,"Logged late",IF(AND(L192="Escalated",M192=""),"Escalate to Compliance",IF(AND(L192="Escalated",N192=""),"Notify Sponsor Bank",IF(AND(L192="Escalated",N192&lt;&gt;"",NETWORKDAYS(B192,N192)-1&gt;Settings!$B$10),"Sponsor Bank notified late",IF(AND(K192&lt;&gt;"",K192&lt;&gt;"None",Q192=""),"Enter the legal deadline",IF(AND(S192&lt;&gt;"",OR(T192="",V192="")),"Record outcome and root cause",IF(AND(P192="",S192="",Settings!$B$4&gt;O192),"Acknowledgment overdue",""))))))))</f>
        <v/>
      </c>
    </row>
    <row r="193" ht="15.75" customHeight="1" s="31">
      <c r="A193" s="44" t="n"/>
      <c r="B193" s="45" t="n"/>
      <c r="C193" s="45" t="n"/>
      <c r="D193" s="44" t="n"/>
      <c r="E193" s="44" t="n"/>
      <c r="F193" s="44" t="n"/>
      <c r="G193" s="44" t="n"/>
      <c r="H193" s="44" t="n"/>
      <c r="I193" s="44" t="n"/>
      <c r="J193" s="44" t="n"/>
      <c r="K193" s="44" t="n"/>
      <c r="L193" s="41">
        <f>IF(B193="","",IF(OR(COUNTIF(Settings!$E$4:$E$9,D193)&gt;0,I193="Yes",J193="Yes",K193="Fair lending allegation"),"Escalated","Standard"))</f>
        <v/>
      </c>
      <c r="M193" s="45" t="n"/>
      <c r="N193" s="45" t="n"/>
      <c r="O193" s="42">
        <f>IF(B193="","",WORKDAY(B193,Settings!$B$7))</f>
        <v/>
      </c>
      <c r="P193" s="45" t="n"/>
      <c r="Q193" s="45" t="n"/>
      <c r="R193" s="42">
        <f>IF(B193="","",IF(Q193&lt;&gt;"",MIN(Q193,IF(L193="Escalated",B193+Settings!$B$9,WORKDAY(B193,Settings!$B$8))),IF(L193="Escalated",B193+Settings!$B$9,WORKDAY(B193,Settings!$B$8))))</f>
        <v/>
      </c>
      <c r="S193" s="45" t="n"/>
      <c r="T193" s="44" t="n"/>
      <c r="U193" s="46" t="n"/>
      <c r="V193" s="44" t="n"/>
      <c r="W193" s="44" t="n"/>
      <c r="X193" s="44" t="n"/>
      <c r="Y193" s="41">
        <f>IF(B193="","",IF(S193&lt;&gt;"",S193,Settings!$B$4)-B193)</f>
        <v/>
      </c>
      <c r="Z193" s="41">
        <f>IF(B193="","",IF(S193&lt;&gt;"",IF(S193&gt;R193,"Closed late","Closed on time"),IF(Settings!$B$4&gt;R193,"Open: overdue","Open")))</f>
        <v/>
      </c>
      <c r="AA193" s="41">
        <f>IF(B193="","",IF(NETWORKDAYS(B193,C193)-1&gt;Settings!$B$5,"Logged late",IF(AND(L193="Escalated",M193=""),"Escalate to Compliance",IF(AND(L193="Escalated",N193=""),"Notify Sponsor Bank",IF(AND(L193="Escalated",N193&lt;&gt;"",NETWORKDAYS(B193,N193)-1&gt;Settings!$B$10),"Sponsor Bank notified late",IF(AND(K193&lt;&gt;"",K193&lt;&gt;"None",Q193=""),"Enter the legal deadline",IF(AND(S193&lt;&gt;"",OR(T193="",V193="")),"Record outcome and root cause",IF(AND(P193="",S193="",Settings!$B$4&gt;O193),"Acknowledgment overdue",""))))))))</f>
        <v/>
      </c>
    </row>
    <row r="194" ht="15.75" customHeight="1" s="31">
      <c r="A194" s="44" t="n"/>
      <c r="B194" s="45" t="n"/>
      <c r="C194" s="45" t="n"/>
      <c r="D194" s="44" t="n"/>
      <c r="E194" s="44" t="n"/>
      <c r="F194" s="44" t="n"/>
      <c r="G194" s="44" t="n"/>
      <c r="H194" s="44" t="n"/>
      <c r="I194" s="44" t="n"/>
      <c r="J194" s="44" t="n"/>
      <c r="K194" s="44" t="n"/>
      <c r="L194" s="41">
        <f>IF(B194="","",IF(OR(COUNTIF(Settings!$E$4:$E$9,D194)&gt;0,I194="Yes",J194="Yes",K194="Fair lending allegation"),"Escalated","Standard"))</f>
        <v/>
      </c>
      <c r="M194" s="45" t="n"/>
      <c r="N194" s="45" t="n"/>
      <c r="O194" s="42">
        <f>IF(B194="","",WORKDAY(B194,Settings!$B$7))</f>
        <v/>
      </c>
      <c r="P194" s="45" t="n"/>
      <c r="Q194" s="45" t="n"/>
      <c r="R194" s="42">
        <f>IF(B194="","",IF(Q194&lt;&gt;"",MIN(Q194,IF(L194="Escalated",B194+Settings!$B$9,WORKDAY(B194,Settings!$B$8))),IF(L194="Escalated",B194+Settings!$B$9,WORKDAY(B194,Settings!$B$8))))</f>
        <v/>
      </c>
      <c r="S194" s="45" t="n"/>
      <c r="T194" s="44" t="n"/>
      <c r="U194" s="46" t="n"/>
      <c r="V194" s="44" t="n"/>
      <c r="W194" s="44" t="n"/>
      <c r="X194" s="44" t="n"/>
      <c r="Y194" s="41">
        <f>IF(B194="","",IF(S194&lt;&gt;"",S194,Settings!$B$4)-B194)</f>
        <v/>
      </c>
      <c r="Z194" s="41">
        <f>IF(B194="","",IF(S194&lt;&gt;"",IF(S194&gt;R194,"Closed late","Closed on time"),IF(Settings!$B$4&gt;R194,"Open: overdue","Open")))</f>
        <v/>
      </c>
      <c r="AA194" s="41">
        <f>IF(B194="","",IF(NETWORKDAYS(B194,C194)-1&gt;Settings!$B$5,"Logged late",IF(AND(L194="Escalated",M194=""),"Escalate to Compliance",IF(AND(L194="Escalated",N194=""),"Notify Sponsor Bank",IF(AND(L194="Escalated",N194&lt;&gt;"",NETWORKDAYS(B194,N194)-1&gt;Settings!$B$10),"Sponsor Bank notified late",IF(AND(K194&lt;&gt;"",K194&lt;&gt;"None",Q194=""),"Enter the legal deadline",IF(AND(S194&lt;&gt;"",OR(T194="",V194="")),"Record outcome and root cause",IF(AND(P194="",S194="",Settings!$B$4&gt;O194),"Acknowledgment overdue",""))))))))</f>
        <v/>
      </c>
    </row>
    <row r="195" ht="15.75" customHeight="1" s="31">
      <c r="A195" s="44" t="n"/>
      <c r="B195" s="45" t="n"/>
      <c r="C195" s="45" t="n"/>
      <c r="D195" s="44" t="n"/>
      <c r="E195" s="44" t="n"/>
      <c r="F195" s="44" t="n"/>
      <c r="G195" s="44" t="n"/>
      <c r="H195" s="44" t="n"/>
      <c r="I195" s="44" t="n"/>
      <c r="J195" s="44" t="n"/>
      <c r="K195" s="44" t="n"/>
      <c r="L195" s="41">
        <f>IF(B195="","",IF(OR(COUNTIF(Settings!$E$4:$E$9,D195)&gt;0,I195="Yes",J195="Yes",K195="Fair lending allegation"),"Escalated","Standard"))</f>
        <v/>
      </c>
      <c r="M195" s="45" t="n"/>
      <c r="N195" s="45" t="n"/>
      <c r="O195" s="42">
        <f>IF(B195="","",WORKDAY(B195,Settings!$B$7))</f>
        <v/>
      </c>
      <c r="P195" s="45" t="n"/>
      <c r="Q195" s="45" t="n"/>
      <c r="R195" s="42">
        <f>IF(B195="","",IF(Q195&lt;&gt;"",MIN(Q195,IF(L195="Escalated",B195+Settings!$B$9,WORKDAY(B195,Settings!$B$8))),IF(L195="Escalated",B195+Settings!$B$9,WORKDAY(B195,Settings!$B$8))))</f>
        <v/>
      </c>
      <c r="S195" s="45" t="n"/>
      <c r="T195" s="44" t="n"/>
      <c r="U195" s="46" t="n"/>
      <c r="V195" s="44" t="n"/>
      <c r="W195" s="44" t="n"/>
      <c r="X195" s="44" t="n"/>
      <c r="Y195" s="41">
        <f>IF(B195="","",IF(S195&lt;&gt;"",S195,Settings!$B$4)-B195)</f>
        <v/>
      </c>
      <c r="Z195" s="41">
        <f>IF(B195="","",IF(S195&lt;&gt;"",IF(S195&gt;R195,"Closed late","Closed on time"),IF(Settings!$B$4&gt;R195,"Open: overdue","Open")))</f>
        <v/>
      </c>
      <c r="AA195" s="41">
        <f>IF(B195="","",IF(NETWORKDAYS(B195,C195)-1&gt;Settings!$B$5,"Logged late",IF(AND(L195="Escalated",M195=""),"Escalate to Compliance",IF(AND(L195="Escalated",N195=""),"Notify Sponsor Bank",IF(AND(L195="Escalated",N195&lt;&gt;"",NETWORKDAYS(B195,N195)-1&gt;Settings!$B$10),"Sponsor Bank notified late",IF(AND(K195&lt;&gt;"",K195&lt;&gt;"None",Q195=""),"Enter the legal deadline",IF(AND(S195&lt;&gt;"",OR(T195="",V195="")),"Record outcome and root cause",IF(AND(P195="",S195="",Settings!$B$4&gt;O195),"Acknowledgment overdue",""))))))))</f>
        <v/>
      </c>
    </row>
    <row r="196" ht="15.75" customHeight="1" s="31">
      <c r="A196" s="44" t="n"/>
      <c r="B196" s="45" t="n"/>
      <c r="C196" s="45" t="n"/>
      <c r="D196" s="44" t="n"/>
      <c r="E196" s="44" t="n"/>
      <c r="F196" s="44" t="n"/>
      <c r="G196" s="44" t="n"/>
      <c r="H196" s="44" t="n"/>
      <c r="I196" s="44" t="n"/>
      <c r="J196" s="44" t="n"/>
      <c r="K196" s="44" t="n"/>
      <c r="L196" s="41">
        <f>IF(B196="","",IF(OR(COUNTIF(Settings!$E$4:$E$9,D196)&gt;0,I196="Yes",J196="Yes",K196="Fair lending allegation"),"Escalated","Standard"))</f>
        <v/>
      </c>
      <c r="M196" s="45" t="n"/>
      <c r="N196" s="45" t="n"/>
      <c r="O196" s="42">
        <f>IF(B196="","",WORKDAY(B196,Settings!$B$7))</f>
        <v/>
      </c>
      <c r="P196" s="45" t="n"/>
      <c r="Q196" s="45" t="n"/>
      <c r="R196" s="42">
        <f>IF(B196="","",IF(Q196&lt;&gt;"",MIN(Q196,IF(L196="Escalated",B196+Settings!$B$9,WORKDAY(B196,Settings!$B$8))),IF(L196="Escalated",B196+Settings!$B$9,WORKDAY(B196,Settings!$B$8))))</f>
        <v/>
      </c>
      <c r="S196" s="45" t="n"/>
      <c r="T196" s="44" t="n"/>
      <c r="U196" s="46" t="n"/>
      <c r="V196" s="44" t="n"/>
      <c r="W196" s="44" t="n"/>
      <c r="X196" s="44" t="n"/>
      <c r="Y196" s="41">
        <f>IF(B196="","",IF(S196&lt;&gt;"",S196,Settings!$B$4)-B196)</f>
        <v/>
      </c>
      <c r="Z196" s="41">
        <f>IF(B196="","",IF(S196&lt;&gt;"",IF(S196&gt;R196,"Closed late","Closed on time"),IF(Settings!$B$4&gt;R196,"Open: overdue","Open")))</f>
        <v/>
      </c>
      <c r="AA196" s="41">
        <f>IF(B196="","",IF(NETWORKDAYS(B196,C196)-1&gt;Settings!$B$5,"Logged late",IF(AND(L196="Escalated",M196=""),"Escalate to Compliance",IF(AND(L196="Escalated",N196=""),"Notify Sponsor Bank",IF(AND(L196="Escalated",N196&lt;&gt;"",NETWORKDAYS(B196,N196)-1&gt;Settings!$B$10),"Sponsor Bank notified late",IF(AND(K196&lt;&gt;"",K196&lt;&gt;"None",Q196=""),"Enter the legal deadline",IF(AND(S196&lt;&gt;"",OR(T196="",V196="")),"Record outcome and root cause",IF(AND(P196="",S196="",Settings!$B$4&gt;O196),"Acknowledgment overdue",""))))))))</f>
        <v/>
      </c>
    </row>
    <row r="197" ht="15.75" customHeight="1" s="31">
      <c r="A197" s="44" t="n"/>
      <c r="B197" s="45" t="n"/>
      <c r="C197" s="45" t="n"/>
      <c r="D197" s="44" t="n"/>
      <c r="E197" s="44" t="n"/>
      <c r="F197" s="44" t="n"/>
      <c r="G197" s="44" t="n"/>
      <c r="H197" s="44" t="n"/>
      <c r="I197" s="44" t="n"/>
      <c r="J197" s="44" t="n"/>
      <c r="K197" s="44" t="n"/>
      <c r="L197" s="41">
        <f>IF(B197="","",IF(OR(COUNTIF(Settings!$E$4:$E$9,D197)&gt;0,I197="Yes",J197="Yes",K197="Fair lending allegation"),"Escalated","Standard"))</f>
        <v/>
      </c>
      <c r="M197" s="45" t="n"/>
      <c r="N197" s="45" t="n"/>
      <c r="O197" s="42">
        <f>IF(B197="","",WORKDAY(B197,Settings!$B$7))</f>
        <v/>
      </c>
      <c r="P197" s="45" t="n"/>
      <c r="Q197" s="45" t="n"/>
      <c r="R197" s="42">
        <f>IF(B197="","",IF(Q197&lt;&gt;"",MIN(Q197,IF(L197="Escalated",B197+Settings!$B$9,WORKDAY(B197,Settings!$B$8))),IF(L197="Escalated",B197+Settings!$B$9,WORKDAY(B197,Settings!$B$8))))</f>
        <v/>
      </c>
      <c r="S197" s="45" t="n"/>
      <c r="T197" s="44" t="n"/>
      <c r="U197" s="46" t="n"/>
      <c r="V197" s="44" t="n"/>
      <c r="W197" s="44" t="n"/>
      <c r="X197" s="44" t="n"/>
      <c r="Y197" s="41">
        <f>IF(B197="","",IF(S197&lt;&gt;"",S197,Settings!$B$4)-B197)</f>
        <v/>
      </c>
      <c r="Z197" s="41">
        <f>IF(B197="","",IF(S197&lt;&gt;"",IF(S197&gt;R197,"Closed late","Closed on time"),IF(Settings!$B$4&gt;R197,"Open: overdue","Open")))</f>
        <v/>
      </c>
      <c r="AA197" s="41">
        <f>IF(B197="","",IF(NETWORKDAYS(B197,C197)-1&gt;Settings!$B$5,"Logged late",IF(AND(L197="Escalated",M197=""),"Escalate to Compliance",IF(AND(L197="Escalated",N197=""),"Notify Sponsor Bank",IF(AND(L197="Escalated",N197&lt;&gt;"",NETWORKDAYS(B197,N197)-1&gt;Settings!$B$10),"Sponsor Bank notified late",IF(AND(K197&lt;&gt;"",K197&lt;&gt;"None",Q197=""),"Enter the legal deadline",IF(AND(S197&lt;&gt;"",OR(T197="",V197="")),"Record outcome and root cause",IF(AND(P197="",S197="",Settings!$B$4&gt;O197),"Acknowledgment overdue",""))))))))</f>
        <v/>
      </c>
    </row>
    <row r="198" ht="15.75" customHeight="1" s="31">
      <c r="A198" s="44" t="n"/>
      <c r="B198" s="45" t="n"/>
      <c r="C198" s="45" t="n"/>
      <c r="D198" s="44" t="n"/>
      <c r="E198" s="44" t="n"/>
      <c r="F198" s="44" t="n"/>
      <c r="G198" s="44" t="n"/>
      <c r="H198" s="44" t="n"/>
      <c r="I198" s="44" t="n"/>
      <c r="J198" s="44" t="n"/>
      <c r="K198" s="44" t="n"/>
      <c r="L198" s="41">
        <f>IF(B198="","",IF(OR(COUNTIF(Settings!$E$4:$E$9,D198)&gt;0,I198="Yes",J198="Yes",K198="Fair lending allegation"),"Escalated","Standard"))</f>
        <v/>
      </c>
      <c r="M198" s="45" t="n"/>
      <c r="N198" s="45" t="n"/>
      <c r="O198" s="42">
        <f>IF(B198="","",WORKDAY(B198,Settings!$B$7))</f>
        <v/>
      </c>
      <c r="P198" s="45" t="n"/>
      <c r="Q198" s="45" t="n"/>
      <c r="R198" s="42">
        <f>IF(B198="","",IF(Q198&lt;&gt;"",MIN(Q198,IF(L198="Escalated",B198+Settings!$B$9,WORKDAY(B198,Settings!$B$8))),IF(L198="Escalated",B198+Settings!$B$9,WORKDAY(B198,Settings!$B$8))))</f>
        <v/>
      </c>
      <c r="S198" s="45" t="n"/>
      <c r="T198" s="44" t="n"/>
      <c r="U198" s="46" t="n"/>
      <c r="V198" s="44" t="n"/>
      <c r="W198" s="44" t="n"/>
      <c r="X198" s="44" t="n"/>
      <c r="Y198" s="41">
        <f>IF(B198="","",IF(S198&lt;&gt;"",S198,Settings!$B$4)-B198)</f>
        <v/>
      </c>
      <c r="Z198" s="41">
        <f>IF(B198="","",IF(S198&lt;&gt;"",IF(S198&gt;R198,"Closed late","Closed on time"),IF(Settings!$B$4&gt;R198,"Open: overdue","Open")))</f>
        <v/>
      </c>
      <c r="AA198" s="41">
        <f>IF(B198="","",IF(NETWORKDAYS(B198,C198)-1&gt;Settings!$B$5,"Logged late",IF(AND(L198="Escalated",M198=""),"Escalate to Compliance",IF(AND(L198="Escalated",N198=""),"Notify Sponsor Bank",IF(AND(L198="Escalated",N198&lt;&gt;"",NETWORKDAYS(B198,N198)-1&gt;Settings!$B$10),"Sponsor Bank notified late",IF(AND(K198&lt;&gt;"",K198&lt;&gt;"None",Q198=""),"Enter the legal deadline",IF(AND(S198&lt;&gt;"",OR(T198="",V198="")),"Record outcome and root cause",IF(AND(P198="",S198="",Settings!$B$4&gt;O198),"Acknowledgment overdue",""))))))))</f>
        <v/>
      </c>
    </row>
    <row r="199" ht="15.75" customHeight="1" s="31">
      <c r="A199" s="44" t="n"/>
      <c r="B199" s="45" t="n"/>
      <c r="C199" s="45" t="n"/>
      <c r="D199" s="44" t="n"/>
      <c r="E199" s="44" t="n"/>
      <c r="F199" s="44" t="n"/>
      <c r="G199" s="44" t="n"/>
      <c r="H199" s="44" t="n"/>
      <c r="I199" s="44" t="n"/>
      <c r="J199" s="44" t="n"/>
      <c r="K199" s="44" t="n"/>
      <c r="L199" s="41">
        <f>IF(B199="","",IF(OR(COUNTIF(Settings!$E$4:$E$9,D199)&gt;0,I199="Yes",J199="Yes",K199="Fair lending allegation"),"Escalated","Standard"))</f>
        <v/>
      </c>
      <c r="M199" s="45" t="n"/>
      <c r="N199" s="45" t="n"/>
      <c r="O199" s="42">
        <f>IF(B199="","",WORKDAY(B199,Settings!$B$7))</f>
        <v/>
      </c>
      <c r="P199" s="45" t="n"/>
      <c r="Q199" s="45" t="n"/>
      <c r="R199" s="42">
        <f>IF(B199="","",IF(Q199&lt;&gt;"",MIN(Q199,IF(L199="Escalated",B199+Settings!$B$9,WORKDAY(B199,Settings!$B$8))),IF(L199="Escalated",B199+Settings!$B$9,WORKDAY(B199,Settings!$B$8))))</f>
        <v/>
      </c>
      <c r="S199" s="45" t="n"/>
      <c r="T199" s="44" t="n"/>
      <c r="U199" s="46" t="n"/>
      <c r="V199" s="44" t="n"/>
      <c r="W199" s="44" t="n"/>
      <c r="X199" s="44" t="n"/>
      <c r="Y199" s="41">
        <f>IF(B199="","",IF(S199&lt;&gt;"",S199,Settings!$B$4)-B199)</f>
        <v/>
      </c>
      <c r="Z199" s="41">
        <f>IF(B199="","",IF(S199&lt;&gt;"",IF(S199&gt;R199,"Closed late","Closed on time"),IF(Settings!$B$4&gt;R199,"Open: overdue","Open")))</f>
        <v/>
      </c>
      <c r="AA199" s="41">
        <f>IF(B199="","",IF(NETWORKDAYS(B199,C199)-1&gt;Settings!$B$5,"Logged late",IF(AND(L199="Escalated",M199=""),"Escalate to Compliance",IF(AND(L199="Escalated",N199=""),"Notify Sponsor Bank",IF(AND(L199="Escalated",N199&lt;&gt;"",NETWORKDAYS(B199,N199)-1&gt;Settings!$B$10),"Sponsor Bank notified late",IF(AND(K199&lt;&gt;"",K199&lt;&gt;"None",Q199=""),"Enter the legal deadline",IF(AND(S199&lt;&gt;"",OR(T199="",V199="")),"Record outcome and root cause",IF(AND(P199="",S199="",Settings!$B$4&gt;O199),"Acknowledgment overdue",""))))))))</f>
        <v/>
      </c>
    </row>
    <row r="200" ht="15.75" customHeight="1" s="31">
      <c r="A200" s="44" t="n"/>
      <c r="B200" s="45" t="n"/>
      <c r="C200" s="45" t="n"/>
      <c r="D200" s="44" t="n"/>
      <c r="E200" s="44" t="n"/>
      <c r="F200" s="44" t="n"/>
      <c r="G200" s="44" t="n"/>
      <c r="H200" s="44" t="n"/>
      <c r="I200" s="44" t="n"/>
      <c r="J200" s="44" t="n"/>
      <c r="K200" s="44" t="n"/>
      <c r="L200" s="41">
        <f>IF(B200="","",IF(OR(COUNTIF(Settings!$E$4:$E$9,D200)&gt;0,I200="Yes",J200="Yes",K200="Fair lending allegation"),"Escalated","Standard"))</f>
        <v/>
      </c>
      <c r="M200" s="45" t="n"/>
      <c r="N200" s="45" t="n"/>
      <c r="O200" s="42">
        <f>IF(B200="","",WORKDAY(B200,Settings!$B$7))</f>
        <v/>
      </c>
      <c r="P200" s="45" t="n"/>
      <c r="Q200" s="45" t="n"/>
      <c r="R200" s="42">
        <f>IF(B200="","",IF(Q200&lt;&gt;"",MIN(Q200,IF(L200="Escalated",B200+Settings!$B$9,WORKDAY(B200,Settings!$B$8))),IF(L200="Escalated",B200+Settings!$B$9,WORKDAY(B200,Settings!$B$8))))</f>
        <v/>
      </c>
      <c r="S200" s="45" t="n"/>
      <c r="T200" s="44" t="n"/>
      <c r="U200" s="46" t="n"/>
      <c r="V200" s="44" t="n"/>
      <c r="W200" s="44" t="n"/>
      <c r="X200" s="44" t="n"/>
      <c r="Y200" s="41">
        <f>IF(B200="","",IF(S200&lt;&gt;"",S200,Settings!$B$4)-B200)</f>
        <v/>
      </c>
      <c r="Z200" s="41">
        <f>IF(B200="","",IF(S200&lt;&gt;"",IF(S200&gt;R200,"Closed late","Closed on time"),IF(Settings!$B$4&gt;R200,"Open: overdue","Open")))</f>
        <v/>
      </c>
      <c r="AA200" s="41">
        <f>IF(B200="","",IF(NETWORKDAYS(B200,C200)-1&gt;Settings!$B$5,"Logged late",IF(AND(L200="Escalated",M200=""),"Escalate to Compliance",IF(AND(L200="Escalated",N200=""),"Notify Sponsor Bank",IF(AND(L200="Escalated",N200&lt;&gt;"",NETWORKDAYS(B200,N200)-1&gt;Settings!$B$10),"Sponsor Bank notified late",IF(AND(K200&lt;&gt;"",K200&lt;&gt;"None",Q200=""),"Enter the legal deadline",IF(AND(S200&lt;&gt;"",OR(T200="",V200="")),"Record outcome and root cause",IF(AND(P200="",S200="",Settings!$B$4&gt;O200),"Acknowledgment overdue",""))))))))</f>
        <v/>
      </c>
    </row>
    <row r="201" ht="15.75" customHeight="1" s="31">
      <c r="A201" s="44" t="n"/>
      <c r="B201" s="45" t="n"/>
      <c r="C201" s="45" t="n"/>
      <c r="D201" s="44" t="n"/>
      <c r="E201" s="44" t="n"/>
      <c r="F201" s="44" t="n"/>
      <c r="G201" s="44" t="n"/>
      <c r="H201" s="44" t="n"/>
      <c r="I201" s="44" t="n"/>
      <c r="J201" s="44" t="n"/>
      <c r="K201" s="44" t="n"/>
      <c r="L201" s="41">
        <f>IF(B201="","",IF(OR(COUNTIF(Settings!$E$4:$E$9,D201)&gt;0,I201="Yes",J201="Yes",K201="Fair lending allegation"),"Escalated","Standard"))</f>
        <v/>
      </c>
      <c r="M201" s="45" t="n"/>
      <c r="N201" s="45" t="n"/>
      <c r="O201" s="42">
        <f>IF(B201="","",WORKDAY(B201,Settings!$B$7))</f>
        <v/>
      </c>
      <c r="P201" s="45" t="n"/>
      <c r="Q201" s="45" t="n"/>
      <c r="R201" s="42">
        <f>IF(B201="","",IF(Q201&lt;&gt;"",MIN(Q201,IF(L201="Escalated",B201+Settings!$B$9,WORKDAY(B201,Settings!$B$8))),IF(L201="Escalated",B201+Settings!$B$9,WORKDAY(B201,Settings!$B$8))))</f>
        <v/>
      </c>
      <c r="S201" s="45" t="n"/>
      <c r="T201" s="44" t="n"/>
      <c r="U201" s="46" t="n"/>
      <c r="V201" s="44" t="n"/>
      <c r="W201" s="44" t="n"/>
      <c r="X201" s="44" t="n"/>
      <c r="Y201" s="41">
        <f>IF(B201="","",IF(S201&lt;&gt;"",S201,Settings!$B$4)-B201)</f>
        <v/>
      </c>
      <c r="Z201" s="41">
        <f>IF(B201="","",IF(S201&lt;&gt;"",IF(S201&gt;R201,"Closed late","Closed on time"),IF(Settings!$B$4&gt;R201,"Open: overdue","Open")))</f>
        <v/>
      </c>
      <c r="AA201" s="41">
        <f>IF(B201="","",IF(NETWORKDAYS(B201,C201)-1&gt;Settings!$B$5,"Logged late",IF(AND(L201="Escalated",M201=""),"Escalate to Compliance",IF(AND(L201="Escalated",N201=""),"Notify Sponsor Bank",IF(AND(L201="Escalated",N201&lt;&gt;"",NETWORKDAYS(B201,N201)-1&gt;Settings!$B$10),"Sponsor Bank notified late",IF(AND(K201&lt;&gt;"",K201&lt;&gt;"None",Q201=""),"Enter the legal deadline",IF(AND(S201&lt;&gt;"",OR(T201="",V201="")),"Record outcome and root cause",IF(AND(P201="",S201="",Settings!$B$4&gt;O201),"Acknowledgment overdue",""))))))))</f>
        <v/>
      </c>
    </row>
    <row r="202" ht="15.75" customHeight="1" s="31">
      <c r="A202" s="44" t="n"/>
      <c r="B202" s="45" t="n"/>
      <c r="C202" s="45" t="n"/>
      <c r="D202" s="44" t="n"/>
      <c r="E202" s="44" t="n"/>
      <c r="F202" s="44" t="n"/>
      <c r="G202" s="44" t="n"/>
      <c r="H202" s="44" t="n"/>
      <c r="I202" s="44" t="n"/>
      <c r="J202" s="44" t="n"/>
      <c r="K202" s="44" t="n"/>
      <c r="L202" s="41">
        <f>IF(B202="","",IF(OR(COUNTIF(Settings!$E$4:$E$9,D202)&gt;0,I202="Yes",J202="Yes",K202="Fair lending allegation"),"Escalated","Standard"))</f>
        <v/>
      </c>
      <c r="M202" s="45" t="n"/>
      <c r="N202" s="45" t="n"/>
      <c r="O202" s="42">
        <f>IF(B202="","",WORKDAY(B202,Settings!$B$7))</f>
        <v/>
      </c>
      <c r="P202" s="45" t="n"/>
      <c r="Q202" s="45" t="n"/>
      <c r="R202" s="42">
        <f>IF(B202="","",IF(Q202&lt;&gt;"",MIN(Q202,IF(L202="Escalated",B202+Settings!$B$9,WORKDAY(B202,Settings!$B$8))),IF(L202="Escalated",B202+Settings!$B$9,WORKDAY(B202,Settings!$B$8))))</f>
        <v/>
      </c>
      <c r="S202" s="45" t="n"/>
      <c r="T202" s="44" t="n"/>
      <c r="U202" s="46" t="n"/>
      <c r="V202" s="44" t="n"/>
      <c r="W202" s="44" t="n"/>
      <c r="X202" s="44" t="n"/>
      <c r="Y202" s="41">
        <f>IF(B202="","",IF(S202&lt;&gt;"",S202,Settings!$B$4)-B202)</f>
        <v/>
      </c>
      <c r="Z202" s="41">
        <f>IF(B202="","",IF(S202&lt;&gt;"",IF(S202&gt;R202,"Closed late","Closed on time"),IF(Settings!$B$4&gt;R202,"Open: overdue","Open")))</f>
        <v/>
      </c>
      <c r="AA202" s="41">
        <f>IF(B202="","",IF(NETWORKDAYS(B202,C202)-1&gt;Settings!$B$5,"Logged late",IF(AND(L202="Escalated",M202=""),"Escalate to Compliance",IF(AND(L202="Escalated",N202=""),"Notify Sponsor Bank",IF(AND(L202="Escalated",N202&lt;&gt;"",NETWORKDAYS(B202,N202)-1&gt;Settings!$B$10),"Sponsor Bank notified late",IF(AND(K202&lt;&gt;"",K202&lt;&gt;"None",Q202=""),"Enter the legal deadline",IF(AND(S202&lt;&gt;"",OR(T202="",V202="")),"Record outcome and root cause",IF(AND(P202="",S202="",Settings!$B$4&gt;O202),"Acknowledgment overdue",""))))))))</f>
        <v/>
      </c>
    </row>
    <row r="203" ht="15.75" customHeight="1" s="31">
      <c r="A203" s="44" t="n"/>
      <c r="B203" s="45" t="n"/>
      <c r="C203" s="45" t="n"/>
      <c r="D203" s="44" t="n"/>
      <c r="E203" s="44" t="n"/>
      <c r="F203" s="44" t="n"/>
      <c r="G203" s="44" t="n"/>
      <c r="H203" s="44" t="n"/>
      <c r="I203" s="44" t="n"/>
      <c r="J203" s="44" t="n"/>
      <c r="K203" s="44" t="n"/>
      <c r="L203" s="41">
        <f>IF(B203="","",IF(OR(COUNTIF(Settings!$E$4:$E$9,D203)&gt;0,I203="Yes",J203="Yes",K203="Fair lending allegation"),"Escalated","Standard"))</f>
        <v/>
      </c>
      <c r="M203" s="45" t="n"/>
      <c r="N203" s="45" t="n"/>
      <c r="O203" s="42">
        <f>IF(B203="","",WORKDAY(B203,Settings!$B$7))</f>
        <v/>
      </c>
      <c r="P203" s="45" t="n"/>
      <c r="Q203" s="45" t="n"/>
      <c r="R203" s="42">
        <f>IF(B203="","",IF(Q203&lt;&gt;"",MIN(Q203,IF(L203="Escalated",B203+Settings!$B$9,WORKDAY(B203,Settings!$B$8))),IF(L203="Escalated",B203+Settings!$B$9,WORKDAY(B203,Settings!$B$8))))</f>
        <v/>
      </c>
      <c r="S203" s="45" t="n"/>
      <c r="T203" s="44" t="n"/>
      <c r="U203" s="46" t="n"/>
      <c r="V203" s="44" t="n"/>
      <c r="W203" s="44" t="n"/>
      <c r="X203" s="44" t="n"/>
      <c r="Y203" s="41">
        <f>IF(B203="","",IF(S203&lt;&gt;"",S203,Settings!$B$4)-B203)</f>
        <v/>
      </c>
      <c r="Z203" s="41">
        <f>IF(B203="","",IF(S203&lt;&gt;"",IF(S203&gt;R203,"Closed late","Closed on time"),IF(Settings!$B$4&gt;R203,"Open: overdue","Open")))</f>
        <v/>
      </c>
      <c r="AA203" s="41">
        <f>IF(B203="","",IF(NETWORKDAYS(B203,C203)-1&gt;Settings!$B$5,"Logged late",IF(AND(L203="Escalated",M203=""),"Escalate to Compliance",IF(AND(L203="Escalated",N203=""),"Notify Sponsor Bank",IF(AND(L203="Escalated",N203&lt;&gt;"",NETWORKDAYS(B203,N203)-1&gt;Settings!$B$10),"Sponsor Bank notified late",IF(AND(K203&lt;&gt;"",K203&lt;&gt;"None",Q203=""),"Enter the legal deadline",IF(AND(S203&lt;&gt;"",OR(T203="",V203="")),"Record outcome and root cause",IF(AND(P203="",S203="",Settings!$B$4&gt;O203),"Acknowledgment overdue",""))))))))</f>
        <v/>
      </c>
    </row>
    <row r="204" ht="15.75" customHeight="1" s="31">
      <c r="A204" s="44" t="n"/>
      <c r="B204" s="45" t="n"/>
      <c r="C204" s="45" t="n"/>
      <c r="D204" s="44" t="n"/>
      <c r="E204" s="44" t="n"/>
      <c r="F204" s="44" t="n"/>
      <c r="G204" s="44" t="n"/>
      <c r="H204" s="44" t="n"/>
      <c r="I204" s="44" t="n"/>
      <c r="J204" s="44" t="n"/>
      <c r="K204" s="44" t="n"/>
      <c r="L204" s="41">
        <f>IF(B204="","",IF(OR(COUNTIF(Settings!$E$4:$E$9,D204)&gt;0,I204="Yes",J204="Yes",K204="Fair lending allegation"),"Escalated","Standard"))</f>
        <v/>
      </c>
      <c r="M204" s="45" t="n"/>
      <c r="N204" s="45" t="n"/>
      <c r="O204" s="42">
        <f>IF(B204="","",WORKDAY(B204,Settings!$B$7))</f>
        <v/>
      </c>
      <c r="P204" s="45" t="n"/>
      <c r="Q204" s="45" t="n"/>
      <c r="R204" s="42">
        <f>IF(B204="","",IF(Q204&lt;&gt;"",MIN(Q204,IF(L204="Escalated",B204+Settings!$B$9,WORKDAY(B204,Settings!$B$8))),IF(L204="Escalated",B204+Settings!$B$9,WORKDAY(B204,Settings!$B$8))))</f>
        <v/>
      </c>
      <c r="S204" s="45" t="n"/>
      <c r="T204" s="44" t="n"/>
      <c r="U204" s="46" t="n"/>
      <c r="V204" s="44" t="n"/>
      <c r="W204" s="44" t="n"/>
      <c r="X204" s="44" t="n"/>
      <c r="Y204" s="41">
        <f>IF(B204="","",IF(S204&lt;&gt;"",S204,Settings!$B$4)-B204)</f>
        <v/>
      </c>
      <c r="Z204" s="41">
        <f>IF(B204="","",IF(S204&lt;&gt;"",IF(S204&gt;R204,"Closed late","Closed on time"),IF(Settings!$B$4&gt;R204,"Open: overdue","Open")))</f>
        <v/>
      </c>
      <c r="AA204" s="41">
        <f>IF(B204="","",IF(NETWORKDAYS(B204,C204)-1&gt;Settings!$B$5,"Logged late",IF(AND(L204="Escalated",M204=""),"Escalate to Compliance",IF(AND(L204="Escalated",N204=""),"Notify Sponsor Bank",IF(AND(L204="Escalated",N204&lt;&gt;"",NETWORKDAYS(B204,N204)-1&gt;Settings!$B$10),"Sponsor Bank notified late",IF(AND(K204&lt;&gt;"",K204&lt;&gt;"None",Q204=""),"Enter the legal deadline",IF(AND(S204&lt;&gt;"",OR(T204="",V204="")),"Record outcome and root cause",IF(AND(P204="",S204="",Settings!$B$4&gt;O204),"Acknowledgment overdue",""))))))))</f>
        <v/>
      </c>
    </row>
    <row r="205" ht="15.75" customHeight="1" s="31">
      <c r="A205" s="44" t="n"/>
      <c r="B205" s="45" t="n"/>
      <c r="C205" s="45" t="n"/>
      <c r="D205" s="44" t="n"/>
      <c r="E205" s="44" t="n"/>
      <c r="F205" s="44" t="n"/>
      <c r="G205" s="44" t="n"/>
      <c r="H205" s="44" t="n"/>
      <c r="I205" s="44" t="n"/>
      <c r="J205" s="44" t="n"/>
      <c r="K205" s="44" t="n"/>
      <c r="L205" s="41">
        <f>IF(B205="","",IF(OR(COUNTIF(Settings!$E$4:$E$9,D205)&gt;0,I205="Yes",J205="Yes",K205="Fair lending allegation"),"Escalated","Standard"))</f>
        <v/>
      </c>
      <c r="M205" s="45" t="n"/>
      <c r="N205" s="45" t="n"/>
      <c r="O205" s="42">
        <f>IF(B205="","",WORKDAY(B205,Settings!$B$7))</f>
        <v/>
      </c>
      <c r="P205" s="45" t="n"/>
      <c r="Q205" s="45" t="n"/>
      <c r="R205" s="42">
        <f>IF(B205="","",IF(Q205&lt;&gt;"",MIN(Q205,IF(L205="Escalated",B205+Settings!$B$9,WORKDAY(B205,Settings!$B$8))),IF(L205="Escalated",B205+Settings!$B$9,WORKDAY(B205,Settings!$B$8))))</f>
        <v/>
      </c>
      <c r="S205" s="45" t="n"/>
      <c r="T205" s="44" t="n"/>
      <c r="U205" s="46" t="n"/>
      <c r="V205" s="44" t="n"/>
      <c r="W205" s="44" t="n"/>
      <c r="X205" s="44" t="n"/>
      <c r="Y205" s="41">
        <f>IF(B205="","",IF(S205&lt;&gt;"",S205,Settings!$B$4)-B205)</f>
        <v/>
      </c>
      <c r="Z205" s="41">
        <f>IF(B205="","",IF(S205&lt;&gt;"",IF(S205&gt;R205,"Closed late","Closed on time"),IF(Settings!$B$4&gt;R205,"Open: overdue","Open")))</f>
        <v/>
      </c>
      <c r="AA205" s="41">
        <f>IF(B205="","",IF(NETWORKDAYS(B205,C205)-1&gt;Settings!$B$5,"Logged late",IF(AND(L205="Escalated",M205=""),"Escalate to Compliance",IF(AND(L205="Escalated",N205=""),"Notify Sponsor Bank",IF(AND(L205="Escalated",N205&lt;&gt;"",NETWORKDAYS(B205,N205)-1&gt;Settings!$B$10),"Sponsor Bank notified late",IF(AND(K205&lt;&gt;"",K205&lt;&gt;"None",Q205=""),"Enter the legal deadline",IF(AND(S205&lt;&gt;"",OR(T205="",V205="")),"Record outcome and root cause",IF(AND(P205="",S205="",Settings!$B$4&gt;O205),"Acknowledgment overdue",""))))))))</f>
        <v/>
      </c>
    </row>
    <row r="206" ht="15.75" customHeight="1" s="31">
      <c r="A206" s="44" t="n"/>
      <c r="B206" s="45" t="n"/>
      <c r="C206" s="45" t="n"/>
      <c r="D206" s="44" t="n"/>
      <c r="E206" s="44" t="n"/>
      <c r="F206" s="44" t="n"/>
      <c r="G206" s="44" t="n"/>
      <c r="H206" s="44" t="n"/>
      <c r="I206" s="44" t="n"/>
      <c r="J206" s="44" t="n"/>
      <c r="K206" s="44" t="n"/>
      <c r="L206" s="41">
        <f>IF(B206="","",IF(OR(COUNTIF(Settings!$E$4:$E$9,D206)&gt;0,I206="Yes",J206="Yes",K206="Fair lending allegation"),"Escalated","Standard"))</f>
        <v/>
      </c>
      <c r="M206" s="45" t="n"/>
      <c r="N206" s="45" t="n"/>
      <c r="O206" s="42">
        <f>IF(B206="","",WORKDAY(B206,Settings!$B$7))</f>
        <v/>
      </c>
      <c r="P206" s="45" t="n"/>
      <c r="Q206" s="45" t="n"/>
      <c r="R206" s="42">
        <f>IF(B206="","",IF(Q206&lt;&gt;"",MIN(Q206,IF(L206="Escalated",B206+Settings!$B$9,WORKDAY(B206,Settings!$B$8))),IF(L206="Escalated",B206+Settings!$B$9,WORKDAY(B206,Settings!$B$8))))</f>
        <v/>
      </c>
      <c r="S206" s="45" t="n"/>
      <c r="T206" s="44" t="n"/>
      <c r="U206" s="46" t="n"/>
      <c r="V206" s="44" t="n"/>
      <c r="W206" s="44" t="n"/>
      <c r="X206" s="44" t="n"/>
      <c r="Y206" s="41">
        <f>IF(B206="","",IF(S206&lt;&gt;"",S206,Settings!$B$4)-B206)</f>
        <v/>
      </c>
      <c r="Z206" s="41">
        <f>IF(B206="","",IF(S206&lt;&gt;"",IF(S206&gt;R206,"Closed late","Closed on time"),IF(Settings!$B$4&gt;R206,"Open: overdue","Open")))</f>
        <v/>
      </c>
      <c r="AA206" s="41">
        <f>IF(B206="","",IF(NETWORKDAYS(B206,C206)-1&gt;Settings!$B$5,"Logged late",IF(AND(L206="Escalated",M206=""),"Escalate to Compliance",IF(AND(L206="Escalated",N206=""),"Notify Sponsor Bank",IF(AND(L206="Escalated",N206&lt;&gt;"",NETWORKDAYS(B206,N206)-1&gt;Settings!$B$10),"Sponsor Bank notified late",IF(AND(K206&lt;&gt;"",K206&lt;&gt;"None",Q206=""),"Enter the legal deadline",IF(AND(S206&lt;&gt;"",OR(T206="",V206="")),"Record outcome and root cause",IF(AND(P206="",S206="",Settings!$B$4&gt;O206),"Acknowledgment overdue",""))))))))</f>
        <v/>
      </c>
    </row>
    <row r="207" ht="15.75" customHeight="1" s="31">
      <c r="A207" s="44" t="n"/>
      <c r="B207" s="45" t="n"/>
      <c r="C207" s="45" t="n"/>
      <c r="D207" s="44" t="n"/>
      <c r="E207" s="44" t="n"/>
      <c r="F207" s="44" t="n"/>
      <c r="G207" s="44" t="n"/>
      <c r="H207" s="44" t="n"/>
      <c r="I207" s="44" t="n"/>
      <c r="J207" s="44" t="n"/>
      <c r="K207" s="44" t="n"/>
      <c r="L207" s="41">
        <f>IF(B207="","",IF(OR(COUNTIF(Settings!$E$4:$E$9,D207)&gt;0,I207="Yes",J207="Yes",K207="Fair lending allegation"),"Escalated","Standard"))</f>
        <v/>
      </c>
      <c r="M207" s="45" t="n"/>
      <c r="N207" s="45" t="n"/>
      <c r="O207" s="42">
        <f>IF(B207="","",WORKDAY(B207,Settings!$B$7))</f>
        <v/>
      </c>
      <c r="P207" s="45" t="n"/>
      <c r="Q207" s="45" t="n"/>
      <c r="R207" s="42">
        <f>IF(B207="","",IF(Q207&lt;&gt;"",MIN(Q207,IF(L207="Escalated",B207+Settings!$B$9,WORKDAY(B207,Settings!$B$8))),IF(L207="Escalated",B207+Settings!$B$9,WORKDAY(B207,Settings!$B$8))))</f>
        <v/>
      </c>
      <c r="S207" s="45" t="n"/>
      <c r="T207" s="44" t="n"/>
      <c r="U207" s="46" t="n"/>
      <c r="V207" s="44" t="n"/>
      <c r="W207" s="44" t="n"/>
      <c r="X207" s="44" t="n"/>
      <c r="Y207" s="41">
        <f>IF(B207="","",IF(S207&lt;&gt;"",S207,Settings!$B$4)-B207)</f>
        <v/>
      </c>
      <c r="Z207" s="41">
        <f>IF(B207="","",IF(S207&lt;&gt;"",IF(S207&gt;R207,"Closed late","Closed on time"),IF(Settings!$B$4&gt;R207,"Open: overdue","Open")))</f>
        <v/>
      </c>
      <c r="AA207" s="41">
        <f>IF(B207="","",IF(NETWORKDAYS(B207,C207)-1&gt;Settings!$B$5,"Logged late",IF(AND(L207="Escalated",M207=""),"Escalate to Compliance",IF(AND(L207="Escalated",N207=""),"Notify Sponsor Bank",IF(AND(L207="Escalated",N207&lt;&gt;"",NETWORKDAYS(B207,N207)-1&gt;Settings!$B$10),"Sponsor Bank notified late",IF(AND(K207&lt;&gt;"",K207&lt;&gt;"None",Q207=""),"Enter the legal deadline",IF(AND(S207&lt;&gt;"",OR(T207="",V207="")),"Record outcome and root cause",IF(AND(P207="",S207="",Settings!$B$4&gt;O207),"Acknowledgment overdue",""))))))))</f>
        <v/>
      </c>
    </row>
    <row r="208" ht="15.75" customHeight="1" s="31">
      <c r="A208" s="44" t="n"/>
      <c r="B208" s="45" t="n"/>
      <c r="C208" s="45" t="n"/>
      <c r="D208" s="44" t="n"/>
      <c r="E208" s="44" t="n"/>
      <c r="F208" s="44" t="n"/>
      <c r="G208" s="44" t="n"/>
      <c r="H208" s="44" t="n"/>
      <c r="I208" s="44" t="n"/>
      <c r="J208" s="44" t="n"/>
      <c r="K208" s="44" t="n"/>
      <c r="L208" s="41">
        <f>IF(B208="","",IF(OR(COUNTIF(Settings!$E$4:$E$9,D208)&gt;0,I208="Yes",J208="Yes",K208="Fair lending allegation"),"Escalated","Standard"))</f>
        <v/>
      </c>
      <c r="M208" s="45" t="n"/>
      <c r="N208" s="45" t="n"/>
      <c r="O208" s="42">
        <f>IF(B208="","",WORKDAY(B208,Settings!$B$7))</f>
        <v/>
      </c>
      <c r="P208" s="45" t="n"/>
      <c r="Q208" s="45" t="n"/>
      <c r="R208" s="42">
        <f>IF(B208="","",IF(Q208&lt;&gt;"",MIN(Q208,IF(L208="Escalated",B208+Settings!$B$9,WORKDAY(B208,Settings!$B$8))),IF(L208="Escalated",B208+Settings!$B$9,WORKDAY(B208,Settings!$B$8))))</f>
        <v/>
      </c>
      <c r="S208" s="45" t="n"/>
      <c r="T208" s="44" t="n"/>
      <c r="U208" s="46" t="n"/>
      <c r="V208" s="44" t="n"/>
      <c r="W208" s="44" t="n"/>
      <c r="X208" s="44" t="n"/>
      <c r="Y208" s="41">
        <f>IF(B208="","",IF(S208&lt;&gt;"",S208,Settings!$B$4)-B208)</f>
        <v/>
      </c>
      <c r="Z208" s="41">
        <f>IF(B208="","",IF(S208&lt;&gt;"",IF(S208&gt;R208,"Closed late","Closed on time"),IF(Settings!$B$4&gt;R208,"Open: overdue","Open")))</f>
        <v/>
      </c>
      <c r="AA208" s="41">
        <f>IF(B208="","",IF(NETWORKDAYS(B208,C208)-1&gt;Settings!$B$5,"Logged late",IF(AND(L208="Escalated",M208=""),"Escalate to Compliance",IF(AND(L208="Escalated",N208=""),"Notify Sponsor Bank",IF(AND(L208="Escalated",N208&lt;&gt;"",NETWORKDAYS(B208,N208)-1&gt;Settings!$B$10),"Sponsor Bank notified late",IF(AND(K208&lt;&gt;"",K208&lt;&gt;"None",Q208=""),"Enter the legal deadline",IF(AND(S208&lt;&gt;"",OR(T208="",V208="")),"Record outcome and root cause",IF(AND(P208="",S208="",Settings!$B$4&gt;O208),"Acknowledgment overdue",""))))))))</f>
        <v/>
      </c>
    </row>
    <row r="209" ht="15.75" customHeight="1" s="31">
      <c r="A209" s="44" t="n"/>
      <c r="B209" s="45" t="n"/>
      <c r="C209" s="45" t="n"/>
      <c r="D209" s="44" t="n"/>
      <c r="E209" s="44" t="n"/>
      <c r="F209" s="44" t="n"/>
      <c r="G209" s="44" t="n"/>
      <c r="H209" s="44" t="n"/>
      <c r="I209" s="44" t="n"/>
      <c r="J209" s="44" t="n"/>
      <c r="K209" s="44" t="n"/>
      <c r="L209" s="41">
        <f>IF(B209="","",IF(OR(COUNTIF(Settings!$E$4:$E$9,D209)&gt;0,I209="Yes",J209="Yes",K209="Fair lending allegation"),"Escalated","Standard"))</f>
        <v/>
      </c>
      <c r="M209" s="45" t="n"/>
      <c r="N209" s="45" t="n"/>
      <c r="O209" s="42">
        <f>IF(B209="","",WORKDAY(B209,Settings!$B$7))</f>
        <v/>
      </c>
      <c r="P209" s="45" t="n"/>
      <c r="Q209" s="45" t="n"/>
      <c r="R209" s="42">
        <f>IF(B209="","",IF(Q209&lt;&gt;"",MIN(Q209,IF(L209="Escalated",B209+Settings!$B$9,WORKDAY(B209,Settings!$B$8))),IF(L209="Escalated",B209+Settings!$B$9,WORKDAY(B209,Settings!$B$8))))</f>
        <v/>
      </c>
      <c r="S209" s="45" t="n"/>
      <c r="T209" s="44" t="n"/>
      <c r="U209" s="46" t="n"/>
      <c r="V209" s="44" t="n"/>
      <c r="W209" s="44" t="n"/>
      <c r="X209" s="44" t="n"/>
      <c r="Y209" s="41">
        <f>IF(B209="","",IF(S209&lt;&gt;"",S209,Settings!$B$4)-B209)</f>
        <v/>
      </c>
      <c r="Z209" s="41">
        <f>IF(B209="","",IF(S209&lt;&gt;"",IF(S209&gt;R209,"Closed late","Closed on time"),IF(Settings!$B$4&gt;R209,"Open: overdue","Open")))</f>
        <v/>
      </c>
      <c r="AA209" s="41">
        <f>IF(B209="","",IF(NETWORKDAYS(B209,C209)-1&gt;Settings!$B$5,"Logged late",IF(AND(L209="Escalated",M209=""),"Escalate to Compliance",IF(AND(L209="Escalated",N209=""),"Notify Sponsor Bank",IF(AND(L209="Escalated",N209&lt;&gt;"",NETWORKDAYS(B209,N209)-1&gt;Settings!$B$10),"Sponsor Bank notified late",IF(AND(K209&lt;&gt;"",K209&lt;&gt;"None",Q209=""),"Enter the legal deadline",IF(AND(S209&lt;&gt;"",OR(T209="",V209="")),"Record outcome and root cause",IF(AND(P209="",S209="",Settings!$B$4&gt;O209),"Acknowledgment overdue",""))))))))</f>
        <v/>
      </c>
    </row>
    <row r="210" ht="15.75" customHeight="1" s="31">
      <c r="A210" s="44" t="n"/>
      <c r="B210" s="45" t="n"/>
      <c r="C210" s="45" t="n"/>
      <c r="D210" s="44" t="n"/>
      <c r="E210" s="44" t="n"/>
      <c r="F210" s="44" t="n"/>
      <c r="G210" s="44" t="n"/>
      <c r="H210" s="44" t="n"/>
      <c r="I210" s="44" t="n"/>
      <c r="J210" s="44" t="n"/>
      <c r="K210" s="44" t="n"/>
      <c r="L210" s="41">
        <f>IF(B210="","",IF(OR(COUNTIF(Settings!$E$4:$E$9,D210)&gt;0,I210="Yes",J210="Yes",K210="Fair lending allegation"),"Escalated","Standard"))</f>
        <v/>
      </c>
      <c r="M210" s="45" t="n"/>
      <c r="N210" s="45" t="n"/>
      <c r="O210" s="42">
        <f>IF(B210="","",WORKDAY(B210,Settings!$B$7))</f>
        <v/>
      </c>
      <c r="P210" s="45" t="n"/>
      <c r="Q210" s="45" t="n"/>
      <c r="R210" s="42">
        <f>IF(B210="","",IF(Q210&lt;&gt;"",MIN(Q210,IF(L210="Escalated",B210+Settings!$B$9,WORKDAY(B210,Settings!$B$8))),IF(L210="Escalated",B210+Settings!$B$9,WORKDAY(B210,Settings!$B$8))))</f>
        <v/>
      </c>
      <c r="S210" s="45" t="n"/>
      <c r="T210" s="44" t="n"/>
      <c r="U210" s="46" t="n"/>
      <c r="V210" s="44" t="n"/>
      <c r="W210" s="44" t="n"/>
      <c r="X210" s="44" t="n"/>
      <c r="Y210" s="41">
        <f>IF(B210="","",IF(S210&lt;&gt;"",S210,Settings!$B$4)-B210)</f>
        <v/>
      </c>
      <c r="Z210" s="41">
        <f>IF(B210="","",IF(S210&lt;&gt;"",IF(S210&gt;R210,"Closed late","Closed on time"),IF(Settings!$B$4&gt;R210,"Open: overdue","Open")))</f>
        <v/>
      </c>
      <c r="AA210" s="41">
        <f>IF(B210="","",IF(NETWORKDAYS(B210,C210)-1&gt;Settings!$B$5,"Logged late",IF(AND(L210="Escalated",M210=""),"Escalate to Compliance",IF(AND(L210="Escalated",N210=""),"Notify Sponsor Bank",IF(AND(L210="Escalated",N210&lt;&gt;"",NETWORKDAYS(B210,N210)-1&gt;Settings!$B$10),"Sponsor Bank notified late",IF(AND(K210&lt;&gt;"",K210&lt;&gt;"None",Q210=""),"Enter the legal deadline",IF(AND(S210&lt;&gt;"",OR(T210="",V210="")),"Record outcome and root cause",IF(AND(P210="",S210="",Settings!$B$4&gt;O210),"Acknowledgment overdue",""))))))))</f>
        <v/>
      </c>
    </row>
    <row r="211" ht="15.75" customHeight="1" s="31">
      <c r="A211" s="44" t="n"/>
      <c r="B211" s="45" t="n"/>
      <c r="C211" s="45" t="n"/>
      <c r="D211" s="44" t="n"/>
      <c r="E211" s="44" t="n"/>
      <c r="F211" s="44" t="n"/>
      <c r="G211" s="44" t="n"/>
      <c r="H211" s="44" t="n"/>
      <c r="I211" s="44" t="n"/>
      <c r="J211" s="44" t="n"/>
      <c r="K211" s="44" t="n"/>
      <c r="L211" s="41">
        <f>IF(B211="","",IF(OR(COUNTIF(Settings!$E$4:$E$9,D211)&gt;0,I211="Yes",J211="Yes",K211="Fair lending allegation"),"Escalated","Standard"))</f>
        <v/>
      </c>
      <c r="M211" s="45" t="n"/>
      <c r="N211" s="45" t="n"/>
      <c r="O211" s="42">
        <f>IF(B211="","",WORKDAY(B211,Settings!$B$7))</f>
        <v/>
      </c>
      <c r="P211" s="45" t="n"/>
      <c r="Q211" s="45" t="n"/>
      <c r="R211" s="42">
        <f>IF(B211="","",IF(Q211&lt;&gt;"",MIN(Q211,IF(L211="Escalated",B211+Settings!$B$9,WORKDAY(B211,Settings!$B$8))),IF(L211="Escalated",B211+Settings!$B$9,WORKDAY(B211,Settings!$B$8))))</f>
        <v/>
      </c>
      <c r="S211" s="45" t="n"/>
      <c r="T211" s="44" t="n"/>
      <c r="U211" s="46" t="n"/>
      <c r="V211" s="44" t="n"/>
      <c r="W211" s="44" t="n"/>
      <c r="X211" s="44" t="n"/>
      <c r="Y211" s="41">
        <f>IF(B211="","",IF(S211&lt;&gt;"",S211,Settings!$B$4)-B211)</f>
        <v/>
      </c>
      <c r="Z211" s="41">
        <f>IF(B211="","",IF(S211&lt;&gt;"",IF(S211&gt;R211,"Closed late","Closed on time"),IF(Settings!$B$4&gt;R211,"Open: overdue","Open")))</f>
        <v/>
      </c>
      <c r="AA211" s="41">
        <f>IF(B211="","",IF(NETWORKDAYS(B211,C211)-1&gt;Settings!$B$5,"Logged late",IF(AND(L211="Escalated",M211=""),"Escalate to Compliance",IF(AND(L211="Escalated",N211=""),"Notify Sponsor Bank",IF(AND(L211="Escalated",N211&lt;&gt;"",NETWORKDAYS(B211,N211)-1&gt;Settings!$B$10),"Sponsor Bank notified late",IF(AND(K211&lt;&gt;"",K211&lt;&gt;"None",Q211=""),"Enter the legal deadline",IF(AND(S211&lt;&gt;"",OR(T211="",V211="")),"Record outcome and root cause",IF(AND(P211="",S211="",Settings!$B$4&gt;O211),"Acknowledgment overdue",""))))))))</f>
        <v/>
      </c>
    </row>
    <row r="212" ht="15.75" customHeight="1" s="31">
      <c r="A212" s="44" t="n"/>
      <c r="B212" s="45" t="n"/>
      <c r="C212" s="45" t="n"/>
      <c r="D212" s="44" t="n"/>
      <c r="E212" s="44" t="n"/>
      <c r="F212" s="44" t="n"/>
      <c r="G212" s="44" t="n"/>
      <c r="H212" s="44" t="n"/>
      <c r="I212" s="44" t="n"/>
      <c r="J212" s="44" t="n"/>
      <c r="K212" s="44" t="n"/>
      <c r="L212" s="41">
        <f>IF(B212="","",IF(OR(COUNTIF(Settings!$E$4:$E$9,D212)&gt;0,I212="Yes",J212="Yes",K212="Fair lending allegation"),"Escalated","Standard"))</f>
        <v/>
      </c>
      <c r="M212" s="45" t="n"/>
      <c r="N212" s="45" t="n"/>
      <c r="O212" s="42">
        <f>IF(B212="","",WORKDAY(B212,Settings!$B$7))</f>
        <v/>
      </c>
      <c r="P212" s="45" t="n"/>
      <c r="Q212" s="45" t="n"/>
      <c r="R212" s="42">
        <f>IF(B212="","",IF(Q212&lt;&gt;"",MIN(Q212,IF(L212="Escalated",B212+Settings!$B$9,WORKDAY(B212,Settings!$B$8))),IF(L212="Escalated",B212+Settings!$B$9,WORKDAY(B212,Settings!$B$8))))</f>
        <v/>
      </c>
      <c r="S212" s="45" t="n"/>
      <c r="T212" s="44" t="n"/>
      <c r="U212" s="46" t="n"/>
      <c r="V212" s="44" t="n"/>
      <c r="W212" s="44" t="n"/>
      <c r="X212" s="44" t="n"/>
      <c r="Y212" s="41">
        <f>IF(B212="","",IF(S212&lt;&gt;"",S212,Settings!$B$4)-B212)</f>
        <v/>
      </c>
      <c r="Z212" s="41">
        <f>IF(B212="","",IF(S212&lt;&gt;"",IF(S212&gt;R212,"Closed late","Closed on time"),IF(Settings!$B$4&gt;R212,"Open: overdue","Open")))</f>
        <v/>
      </c>
      <c r="AA212" s="41">
        <f>IF(B212="","",IF(NETWORKDAYS(B212,C212)-1&gt;Settings!$B$5,"Logged late",IF(AND(L212="Escalated",M212=""),"Escalate to Compliance",IF(AND(L212="Escalated",N212=""),"Notify Sponsor Bank",IF(AND(L212="Escalated",N212&lt;&gt;"",NETWORKDAYS(B212,N212)-1&gt;Settings!$B$10),"Sponsor Bank notified late",IF(AND(K212&lt;&gt;"",K212&lt;&gt;"None",Q212=""),"Enter the legal deadline",IF(AND(S212&lt;&gt;"",OR(T212="",V212="")),"Record outcome and root cause",IF(AND(P212="",S212="",Settings!$B$4&gt;O212),"Acknowledgment overdue",""))))))))</f>
        <v/>
      </c>
    </row>
    <row r="213" ht="15.75" customHeight="1" s="31">
      <c r="A213" s="44" t="n"/>
      <c r="B213" s="45" t="n"/>
      <c r="C213" s="45" t="n"/>
      <c r="D213" s="44" t="n"/>
      <c r="E213" s="44" t="n"/>
      <c r="F213" s="44" t="n"/>
      <c r="G213" s="44" t="n"/>
      <c r="H213" s="44" t="n"/>
      <c r="I213" s="44" t="n"/>
      <c r="J213" s="44" t="n"/>
      <c r="K213" s="44" t="n"/>
      <c r="L213" s="41">
        <f>IF(B213="","",IF(OR(COUNTIF(Settings!$E$4:$E$9,D213)&gt;0,I213="Yes",J213="Yes",K213="Fair lending allegation"),"Escalated","Standard"))</f>
        <v/>
      </c>
      <c r="M213" s="45" t="n"/>
      <c r="N213" s="45" t="n"/>
      <c r="O213" s="42">
        <f>IF(B213="","",WORKDAY(B213,Settings!$B$7))</f>
        <v/>
      </c>
      <c r="P213" s="45" t="n"/>
      <c r="Q213" s="45" t="n"/>
      <c r="R213" s="42">
        <f>IF(B213="","",IF(Q213&lt;&gt;"",MIN(Q213,IF(L213="Escalated",B213+Settings!$B$9,WORKDAY(B213,Settings!$B$8))),IF(L213="Escalated",B213+Settings!$B$9,WORKDAY(B213,Settings!$B$8))))</f>
        <v/>
      </c>
      <c r="S213" s="45" t="n"/>
      <c r="T213" s="44" t="n"/>
      <c r="U213" s="46" t="n"/>
      <c r="V213" s="44" t="n"/>
      <c r="W213" s="44" t="n"/>
      <c r="X213" s="44" t="n"/>
      <c r="Y213" s="41">
        <f>IF(B213="","",IF(S213&lt;&gt;"",S213,Settings!$B$4)-B213)</f>
        <v/>
      </c>
      <c r="Z213" s="41">
        <f>IF(B213="","",IF(S213&lt;&gt;"",IF(S213&gt;R213,"Closed late","Closed on time"),IF(Settings!$B$4&gt;R213,"Open: overdue","Open")))</f>
        <v/>
      </c>
      <c r="AA213" s="41">
        <f>IF(B213="","",IF(NETWORKDAYS(B213,C213)-1&gt;Settings!$B$5,"Logged late",IF(AND(L213="Escalated",M213=""),"Escalate to Compliance",IF(AND(L213="Escalated",N213=""),"Notify Sponsor Bank",IF(AND(L213="Escalated",N213&lt;&gt;"",NETWORKDAYS(B213,N213)-1&gt;Settings!$B$10),"Sponsor Bank notified late",IF(AND(K213&lt;&gt;"",K213&lt;&gt;"None",Q213=""),"Enter the legal deadline",IF(AND(S213&lt;&gt;"",OR(T213="",V213="")),"Record outcome and root cause",IF(AND(P213="",S213="",Settings!$B$4&gt;O213),"Acknowledgment overdue",""))))))))</f>
        <v/>
      </c>
    </row>
    <row r="214" ht="15.75" customHeight="1" s="31">
      <c r="A214" s="44" t="n"/>
      <c r="B214" s="45" t="n"/>
      <c r="C214" s="45" t="n"/>
      <c r="D214" s="44" t="n"/>
      <c r="E214" s="44" t="n"/>
      <c r="F214" s="44" t="n"/>
      <c r="G214" s="44" t="n"/>
      <c r="H214" s="44" t="n"/>
      <c r="I214" s="44" t="n"/>
      <c r="J214" s="44" t="n"/>
      <c r="K214" s="44" t="n"/>
      <c r="L214" s="41">
        <f>IF(B214="","",IF(OR(COUNTIF(Settings!$E$4:$E$9,D214)&gt;0,I214="Yes",J214="Yes",K214="Fair lending allegation"),"Escalated","Standard"))</f>
        <v/>
      </c>
      <c r="M214" s="45" t="n"/>
      <c r="N214" s="45" t="n"/>
      <c r="O214" s="42">
        <f>IF(B214="","",WORKDAY(B214,Settings!$B$7))</f>
        <v/>
      </c>
      <c r="P214" s="45" t="n"/>
      <c r="Q214" s="45" t="n"/>
      <c r="R214" s="42">
        <f>IF(B214="","",IF(Q214&lt;&gt;"",MIN(Q214,IF(L214="Escalated",B214+Settings!$B$9,WORKDAY(B214,Settings!$B$8))),IF(L214="Escalated",B214+Settings!$B$9,WORKDAY(B214,Settings!$B$8))))</f>
        <v/>
      </c>
      <c r="S214" s="45" t="n"/>
      <c r="T214" s="44" t="n"/>
      <c r="U214" s="46" t="n"/>
      <c r="V214" s="44" t="n"/>
      <c r="W214" s="44" t="n"/>
      <c r="X214" s="44" t="n"/>
      <c r="Y214" s="41">
        <f>IF(B214="","",IF(S214&lt;&gt;"",S214,Settings!$B$4)-B214)</f>
        <v/>
      </c>
      <c r="Z214" s="41">
        <f>IF(B214="","",IF(S214&lt;&gt;"",IF(S214&gt;R214,"Closed late","Closed on time"),IF(Settings!$B$4&gt;R214,"Open: overdue","Open")))</f>
        <v/>
      </c>
      <c r="AA214" s="41">
        <f>IF(B214="","",IF(NETWORKDAYS(B214,C214)-1&gt;Settings!$B$5,"Logged late",IF(AND(L214="Escalated",M214=""),"Escalate to Compliance",IF(AND(L214="Escalated",N214=""),"Notify Sponsor Bank",IF(AND(L214="Escalated",N214&lt;&gt;"",NETWORKDAYS(B214,N214)-1&gt;Settings!$B$10),"Sponsor Bank notified late",IF(AND(K214&lt;&gt;"",K214&lt;&gt;"None",Q214=""),"Enter the legal deadline",IF(AND(S214&lt;&gt;"",OR(T214="",V214="")),"Record outcome and root cause",IF(AND(P214="",S214="",Settings!$B$4&gt;O214),"Acknowledgment overdue",""))))))))</f>
        <v/>
      </c>
    </row>
    <row r="215" ht="15.75" customHeight="1" s="31">
      <c r="A215" s="44" t="n"/>
      <c r="B215" s="45" t="n"/>
      <c r="C215" s="45" t="n"/>
      <c r="D215" s="44" t="n"/>
      <c r="E215" s="44" t="n"/>
      <c r="F215" s="44" t="n"/>
      <c r="G215" s="44" t="n"/>
      <c r="H215" s="44" t="n"/>
      <c r="I215" s="44" t="n"/>
      <c r="J215" s="44" t="n"/>
      <c r="K215" s="44" t="n"/>
      <c r="L215" s="41">
        <f>IF(B215="","",IF(OR(COUNTIF(Settings!$E$4:$E$9,D215)&gt;0,I215="Yes",J215="Yes",K215="Fair lending allegation"),"Escalated","Standard"))</f>
        <v/>
      </c>
      <c r="M215" s="45" t="n"/>
      <c r="N215" s="45" t="n"/>
      <c r="O215" s="42">
        <f>IF(B215="","",WORKDAY(B215,Settings!$B$7))</f>
        <v/>
      </c>
      <c r="P215" s="45" t="n"/>
      <c r="Q215" s="45" t="n"/>
      <c r="R215" s="42">
        <f>IF(B215="","",IF(Q215&lt;&gt;"",MIN(Q215,IF(L215="Escalated",B215+Settings!$B$9,WORKDAY(B215,Settings!$B$8))),IF(L215="Escalated",B215+Settings!$B$9,WORKDAY(B215,Settings!$B$8))))</f>
        <v/>
      </c>
      <c r="S215" s="45" t="n"/>
      <c r="T215" s="44" t="n"/>
      <c r="U215" s="46" t="n"/>
      <c r="V215" s="44" t="n"/>
      <c r="W215" s="44" t="n"/>
      <c r="X215" s="44" t="n"/>
      <c r="Y215" s="41">
        <f>IF(B215="","",IF(S215&lt;&gt;"",S215,Settings!$B$4)-B215)</f>
        <v/>
      </c>
      <c r="Z215" s="41">
        <f>IF(B215="","",IF(S215&lt;&gt;"",IF(S215&gt;R215,"Closed late","Closed on time"),IF(Settings!$B$4&gt;R215,"Open: overdue","Open")))</f>
        <v/>
      </c>
      <c r="AA215" s="41">
        <f>IF(B215="","",IF(NETWORKDAYS(B215,C215)-1&gt;Settings!$B$5,"Logged late",IF(AND(L215="Escalated",M215=""),"Escalate to Compliance",IF(AND(L215="Escalated",N215=""),"Notify Sponsor Bank",IF(AND(L215="Escalated",N215&lt;&gt;"",NETWORKDAYS(B215,N215)-1&gt;Settings!$B$10),"Sponsor Bank notified late",IF(AND(K215&lt;&gt;"",K215&lt;&gt;"None",Q215=""),"Enter the legal deadline",IF(AND(S215&lt;&gt;"",OR(T215="",V215="")),"Record outcome and root cause",IF(AND(P215="",S215="",Settings!$B$4&gt;O215),"Acknowledgment overdue",""))))))))</f>
        <v/>
      </c>
    </row>
    <row r="216" ht="15.75" customHeight="1" s="31">
      <c r="A216" s="44" t="n"/>
      <c r="B216" s="45" t="n"/>
      <c r="C216" s="45" t="n"/>
      <c r="D216" s="44" t="n"/>
      <c r="E216" s="44" t="n"/>
      <c r="F216" s="44" t="n"/>
      <c r="G216" s="44" t="n"/>
      <c r="H216" s="44" t="n"/>
      <c r="I216" s="44" t="n"/>
      <c r="J216" s="44" t="n"/>
      <c r="K216" s="44" t="n"/>
      <c r="L216" s="41">
        <f>IF(B216="","",IF(OR(COUNTIF(Settings!$E$4:$E$9,D216)&gt;0,I216="Yes",J216="Yes",K216="Fair lending allegation"),"Escalated","Standard"))</f>
        <v/>
      </c>
      <c r="M216" s="45" t="n"/>
      <c r="N216" s="45" t="n"/>
      <c r="O216" s="42">
        <f>IF(B216="","",WORKDAY(B216,Settings!$B$7))</f>
        <v/>
      </c>
      <c r="P216" s="45" t="n"/>
      <c r="Q216" s="45" t="n"/>
      <c r="R216" s="42">
        <f>IF(B216="","",IF(Q216&lt;&gt;"",MIN(Q216,IF(L216="Escalated",B216+Settings!$B$9,WORKDAY(B216,Settings!$B$8))),IF(L216="Escalated",B216+Settings!$B$9,WORKDAY(B216,Settings!$B$8))))</f>
        <v/>
      </c>
      <c r="S216" s="45" t="n"/>
      <c r="T216" s="44" t="n"/>
      <c r="U216" s="46" t="n"/>
      <c r="V216" s="44" t="n"/>
      <c r="W216" s="44" t="n"/>
      <c r="X216" s="44" t="n"/>
      <c r="Y216" s="41">
        <f>IF(B216="","",IF(S216&lt;&gt;"",S216,Settings!$B$4)-B216)</f>
        <v/>
      </c>
      <c r="Z216" s="41">
        <f>IF(B216="","",IF(S216&lt;&gt;"",IF(S216&gt;R216,"Closed late","Closed on time"),IF(Settings!$B$4&gt;R216,"Open: overdue","Open")))</f>
        <v/>
      </c>
      <c r="AA216" s="41">
        <f>IF(B216="","",IF(NETWORKDAYS(B216,C216)-1&gt;Settings!$B$5,"Logged late",IF(AND(L216="Escalated",M216=""),"Escalate to Compliance",IF(AND(L216="Escalated",N216=""),"Notify Sponsor Bank",IF(AND(L216="Escalated",N216&lt;&gt;"",NETWORKDAYS(B216,N216)-1&gt;Settings!$B$10),"Sponsor Bank notified late",IF(AND(K216&lt;&gt;"",K216&lt;&gt;"None",Q216=""),"Enter the legal deadline",IF(AND(S216&lt;&gt;"",OR(T216="",V216="")),"Record outcome and root cause",IF(AND(P216="",S216="",Settings!$B$4&gt;O216),"Acknowledgment overdue",""))))))))</f>
        <v/>
      </c>
    </row>
    <row r="217" ht="15.75" customHeight="1" s="31">
      <c r="A217" s="44" t="n"/>
      <c r="B217" s="45" t="n"/>
      <c r="C217" s="45" t="n"/>
      <c r="D217" s="44" t="n"/>
      <c r="E217" s="44" t="n"/>
      <c r="F217" s="44" t="n"/>
      <c r="G217" s="44" t="n"/>
      <c r="H217" s="44" t="n"/>
      <c r="I217" s="44" t="n"/>
      <c r="J217" s="44" t="n"/>
      <c r="K217" s="44" t="n"/>
      <c r="L217" s="41">
        <f>IF(B217="","",IF(OR(COUNTIF(Settings!$E$4:$E$9,D217)&gt;0,I217="Yes",J217="Yes",K217="Fair lending allegation"),"Escalated","Standard"))</f>
        <v/>
      </c>
      <c r="M217" s="45" t="n"/>
      <c r="N217" s="45" t="n"/>
      <c r="O217" s="42">
        <f>IF(B217="","",WORKDAY(B217,Settings!$B$7))</f>
        <v/>
      </c>
      <c r="P217" s="45" t="n"/>
      <c r="Q217" s="45" t="n"/>
      <c r="R217" s="42">
        <f>IF(B217="","",IF(Q217&lt;&gt;"",MIN(Q217,IF(L217="Escalated",B217+Settings!$B$9,WORKDAY(B217,Settings!$B$8))),IF(L217="Escalated",B217+Settings!$B$9,WORKDAY(B217,Settings!$B$8))))</f>
        <v/>
      </c>
      <c r="S217" s="45" t="n"/>
      <c r="T217" s="44" t="n"/>
      <c r="U217" s="46" t="n"/>
      <c r="V217" s="44" t="n"/>
      <c r="W217" s="44" t="n"/>
      <c r="X217" s="44" t="n"/>
      <c r="Y217" s="41">
        <f>IF(B217="","",IF(S217&lt;&gt;"",S217,Settings!$B$4)-B217)</f>
        <v/>
      </c>
      <c r="Z217" s="41">
        <f>IF(B217="","",IF(S217&lt;&gt;"",IF(S217&gt;R217,"Closed late","Closed on time"),IF(Settings!$B$4&gt;R217,"Open: overdue","Open")))</f>
        <v/>
      </c>
      <c r="AA217" s="41">
        <f>IF(B217="","",IF(NETWORKDAYS(B217,C217)-1&gt;Settings!$B$5,"Logged late",IF(AND(L217="Escalated",M217=""),"Escalate to Compliance",IF(AND(L217="Escalated",N217=""),"Notify Sponsor Bank",IF(AND(L217="Escalated",N217&lt;&gt;"",NETWORKDAYS(B217,N217)-1&gt;Settings!$B$10),"Sponsor Bank notified late",IF(AND(K217&lt;&gt;"",K217&lt;&gt;"None",Q217=""),"Enter the legal deadline",IF(AND(S217&lt;&gt;"",OR(T217="",V217="")),"Record outcome and root cause",IF(AND(P217="",S217="",Settings!$B$4&gt;O217),"Acknowledgment overdue",""))))))))</f>
        <v/>
      </c>
    </row>
    <row r="218" ht="15.75" customHeight="1" s="31">
      <c r="A218" s="44" t="n"/>
      <c r="B218" s="45" t="n"/>
      <c r="C218" s="45" t="n"/>
      <c r="D218" s="44" t="n"/>
      <c r="E218" s="44" t="n"/>
      <c r="F218" s="44" t="n"/>
      <c r="G218" s="44" t="n"/>
      <c r="H218" s="44" t="n"/>
      <c r="I218" s="44" t="n"/>
      <c r="J218" s="44" t="n"/>
      <c r="K218" s="44" t="n"/>
      <c r="L218" s="41">
        <f>IF(B218="","",IF(OR(COUNTIF(Settings!$E$4:$E$9,D218)&gt;0,I218="Yes",J218="Yes",K218="Fair lending allegation"),"Escalated","Standard"))</f>
        <v/>
      </c>
      <c r="M218" s="45" t="n"/>
      <c r="N218" s="45" t="n"/>
      <c r="O218" s="42">
        <f>IF(B218="","",WORKDAY(B218,Settings!$B$7))</f>
        <v/>
      </c>
      <c r="P218" s="45" t="n"/>
      <c r="Q218" s="45" t="n"/>
      <c r="R218" s="42">
        <f>IF(B218="","",IF(Q218&lt;&gt;"",MIN(Q218,IF(L218="Escalated",B218+Settings!$B$9,WORKDAY(B218,Settings!$B$8))),IF(L218="Escalated",B218+Settings!$B$9,WORKDAY(B218,Settings!$B$8))))</f>
        <v/>
      </c>
      <c r="S218" s="45" t="n"/>
      <c r="T218" s="44" t="n"/>
      <c r="U218" s="46" t="n"/>
      <c r="V218" s="44" t="n"/>
      <c r="W218" s="44" t="n"/>
      <c r="X218" s="44" t="n"/>
      <c r="Y218" s="41">
        <f>IF(B218="","",IF(S218&lt;&gt;"",S218,Settings!$B$4)-B218)</f>
        <v/>
      </c>
      <c r="Z218" s="41">
        <f>IF(B218="","",IF(S218&lt;&gt;"",IF(S218&gt;R218,"Closed late","Closed on time"),IF(Settings!$B$4&gt;R218,"Open: overdue","Open")))</f>
        <v/>
      </c>
      <c r="AA218" s="41">
        <f>IF(B218="","",IF(NETWORKDAYS(B218,C218)-1&gt;Settings!$B$5,"Logged late",IF(AND(L218="Escalated",M218=""),"Escalate to Compliance",IF(AND(L218="Escalated",N218=""),"Notify Sponsor Bank",IF(AND(L218="Escalated",N218&lt;&gt;"",NETWORKDAYS(B218,N218)-1&gt;Settings!$B$10),"Sponsor Bank notified late",IF(AND(K218&lt;&gt;"",K218&lt;&gt;"None",Q218=""),"Enter the legal deadline",IF(AND(S218&lt;&gt;"",OR(T218="",V218="")),"Record outcome and root cause",IF(AND(P218="",S218="",Settings!$B$4&gt;O218),"Acknowledgment overdue",""))))))))</f>
        <v/>
      </c>
    </row>
    <row r="219" ht="15.75" customHeight="1" s="31">
      <c r="A219" s="44" t="n"/>
      <c r="B219" s="45" t="n"/>
      <c r="C219" s="45" t="n"/>
      <c r="D219" s="44" t="n"/>
      <c r="E219" s="44" t="n"/>
      <c r="F219" s="44" t="n"/>
      <c r="G219" s="44" t="n"/>
      <c r="H219" s="44" t="n"/>
      <c r="I219" s="44" t="n"/>
      <c r="J219" s="44" t="n"/>
      <c r="K219" s="44" t="n"/>
      <c r="L219" s="41">
        <f>IF(B219="","",IF(OR(COUNTIF(Settings!$E$4:$E$9,D219)&gt;0,I219="Yes",J219="Yes",K219="Fair lending allegation"),"Escalated","Standard"))</f>
        <v/>
      </c>
      <c r="M219" s="45" t="n"/>
      <c r="N219" s="45" t="n"/>
      <c r="O219" s="42">
        <f>IF(B219="","",WORKDAY(B219,Settings!$B$7))</f>
        <v/>
      </c>
      <c r="P219" s="45" t="n"/>
      <c r="Q219" s="45" t="n"/>
      <c r="R219" s="42">
        <f>IF(B219="","",IF(Q219&lt;&gt;"",MIN(Q219,IF(L219="Escalated",B219+Settings!$B$9,WORKDAY(B219,Settings!$B$8))),IF(L219="Escalated",B219+Settings!$B$9,WORKDAY(B219,Settings!$B$8))))</f>
        <v/>
      </c>
      <c r="S219" s="45" t="n"/>
      <c r="T219" s="44" t="n"/>
      <c r="U219" s="46" t="n"/>
      <c r="V219" s="44" t="n"/>
      <c r="W219" s="44" t="n"/>
      <c r="X219" s="44" t="n"/>
      <c r="Y219" s="41">
        <f>IF(B219="","",IF(S219&lt;&gt;"",S219,Settings!$B$4)-B219)</f>
        <v/>
      </c>
      <c r="Z219" s="41">
        <f>IF(B219="","",IF(S219&lt;&gt;"",IF(S219&gt;R219,"Closed late","Closed on time"),IF(Settings!$B$4&gt;R219,"Open: overdue","Open")))</f>
        <v/>
      </c>
      <c r="AA219" s="41">
        <f>IF(B219="","",IF(NETWORKDAYS(B219,C219)-1&gt;Settings!$B$5,"Logged late",IF(AND(L219="Escalated",M219=""),"Escalate to Compliance",IF(AND(L219="Escalated",N219=""),"Notify Sponsor Bank",IF(AND(L219="Escalated",N219&lt;&gt;"",NETWORKDAYS(B219,N219)-1&gt;Settings!$B$10),"Sponsor Bank notified late",IF(AND(K219&lt;&gt;"",K219&lt;&gt;"None",Q219=""),"Enter the legal deadline",IF(AND(S219&lt;&gt;"",OR(T219="",V219="")),"Record outcome and root cause",IF(AND(P219="",S219="",Settings!$B$4&gt;O219),"Acknowledgment overdue",""))))))))</f>
        <v/>
      </c>
    </row>
    <row r="220" ht="15.75" customHeight="1" s="31">
      <c r="A220" s="44" t="n"/>
      <c r="B220" s="45" t="n"/>
      <c r="C220" s="45" t="n"/>
      <c r="D220" s="44" t="n"/>
      <c r="E220" s="44" t="n"/>
      <c r="F220" s="44" t="n"/>
      <c r="G220" s="44" t="n"/>
      <c r="H220" s="44" t="n"/>
      <c r="I220" s="44" t="n"/>
      <c r="J220" s="44" t="n"/>
      <c r="K220" s="44" t="n"/>
      <c r="L220" s="41">
        <f>IF(B220="","",IF(OR(COUNTIF(Settings!$E$4:$E$9,D220)&gt;0,I220="Yes",J220="Yes",K220="Fair lending allegation"),"Escalated","Standard"))</f>
        <v/>
      </c>
      <c r="M220" s="45" t="n"/>
      <c r="N220" s="45" t="n"/>
      <c r="O220" s="42">
        <f>IF(B220="","",WORKDAY(B220,Settings!$B$7))</f>
        <v/>
      </c>
      <c r="P220" s="45" t="n"/>
      <c r="Q220" s="45" t="n"/>
      <c r="R220" s="42">
        <f>IF(B220="","",IF(Q220&lt;&gt;"",MIN(Q220,IF(L220="Escalated",B220+Settings!$B$9,WORKDAY(B220,Settings!$B$8))),IF(L220="Escalated",B220+Settings!$B$9,WORKDAY(B220,Settings!$B$8))))</f>
        <v/>
      </c>
      <c r="S220" s="45" t="n"/>
      <c r="T220" s="44" t="n"/>
      <c r="U220" s="46" t="n"/>
      <c r="V220" s="44" t="n"/>
      <c r="W220" s="44" t="n"/>
      <c r="X220" s="44" t="n"/>
      <c r="Y220" s="41">
        <f>IF(B220="","",IF(S220&lt;&gt;"",S220,Settings!$B$4)-B220)</f>
        <v/>
      </c>
      <c r="Z220" s="41">
        <f>IF(B220="","",IF(S220&lt;&gt;"",IF(S220&gt;R220,"Closed late","Closed on time"),IF(Settings!$B$4&gt;R220,"Open: overdue","Open")))</f>
        <v/>
      </c>
      <c r="AA220" s="41">
        <f>IF(B220="","",IF(NETWORKDAYS(B220,C220)-1&gt;Settings!$B$5,"Logged late",IF(AND(L220="Escalated",M220=""),"Escalate to Compliance",IF(AND(L220="Escalated",N220=""),"Notify Sponsor Bank",IF(AND(L220="Escalated",N220&lt;&gt;"",NETWORKDAYS(B220,N220)-1&gt;Settings!$B$10),"Sponsor Bank notified late",IF(AND(K220&lt;&gt;"",K220&lt;&gt;"None",Q220=""),"Enter the legal deadline",IF(AND(S220&lt;&gt;"",OR(T220="",V220="")),"Record outcome and root cause",IF(AND(P220="",S220="",Settings!$B$4&gt;O220),"Acknowledgment overdue",""))))))))</f>
        <v/>
      </c>
    </row>
    <row r="221" ht="15.75" customHeight="1" s="31">
      <c r="A221" s="44" t="n"/>
      <c r="B221" s="45" t="n"/>
      <c r="C221" s="45" t="n"/>
      <c r="D221" s="44" t="n"/>
      <c r="E221" s="44" t="n"/>
      <c r="F221" s="44" t="n"/>
      <c r="G221" s="44" t="n"/>
      <c r="H221" s="44" t="n"/>
      <c r="I221" s="44" t="n"/>
      <c r="J221" s="44" t="n"/>
      <c r="K221" s="44" t="n"/>
      <c r="L221" s="41">
        <f>IF(B221="","",IF(OR(COUNTIF(Settings!$E$4:$E$9,D221)&gt;0,I221="Yes",J221="Yes",K221="Fair lending allegation"),"Escalated","Standard"))</f>
        <v/>
      </c>
      <c r="M221" s="45" t="n"/>
      <c r="N221" s="45" t="n"/>
      <c r="O221" s="42">
        <f>IF(B221="","",WORKDAY(B221,Settings!$B$7))</f>
        <v/>
      </c>
      <c r="P221" s="45" t="n"/>
      <c r="Q221" s="45" t="n"/>
      <c r="R221" s="42">
        <f>IF(B221="","",IF(Q221&lt;&gt;"",MIN(Q221,IF(L221="Escalated",B221+Settings!$B$9,WORKDAY(B221,Settings!$B$8))),IF(L221="Escalated",B221+Settings!$B$9,WORKDAY(B221,Settings!$B$8))))</f>
        <v/>
      </c>
      <c r="S221" s="45" t="n"/>
      <c r="T221" s="44" t="n"/>
      <c r="U221" s="46" t="n"/>
      <c r="V221" s="44" t="n"/>
      <c r="W221" s="44" t="n"/>
      <c r="X221" s="44" t="n"/>
      <c r="Y221" s="41">
        <f>IF(B221="","",IF(S221&lt;&gt;"",S221,Settings!$B$4)-B221)</f>
        <v/>
      </c>
      <c r="Z221" s="41">
        <f>IF(B221="","",IF(S221&lt;&gt;"",IF(S221&gt;R221,"Closed late","Closed on time"),IF(Settings!$B$4&gt;R221,"Open: overdue","Open")))</f>
        <v/>
      </c>
      <c r="AA221" s="41">
        <f>IF(B221="","",IF(NETWORKDAYS(B221,C221)-1&gt;Settings!$B$5,"Logged late",IF(AND(L221="Escalated",M221=""),"Escalate to Compliance",IF(AND(L221="Escalated",N221=""),"Notify Sponsor Bank",IF(AND(L221="Escalated",N221&lt;&gt;"",NETWORKDAYS(B221,N221)-1&gt;Settings!$B$10),"Sponsor Bank notified late",IF(AND(K221&lt;&gt;"",K221&lt;&gt;"None",Q221=""),"Enter the legal deadline",IF(AND(S221&lt;&gt;"",OR(T221="",V221="")),"Record outcome and root cause",IF(AND(P221="",S221="",Settings!$B$4&gt;O221),"Acknowledgment overdue",""))))))))</f>
        <v/>
      </c>
    </row>
    <row r="222" ht="15.75" customHeight="1" s="31">
      <c r="A222" s="44" t="n"/>
      <c r="B222" s="45" t="n"/>
      <c r="C222" s="45" t="n"/>
      <c r="D222" s="44" t="n"/>
      <c r="E222" s="44" t="n"/>
      <c r="F222" s="44" t="n"/>
      <c r="G222" s="44" t="n"/>
      <c r="H222" s="44" t="n"/>
      <c r="I222" s="44" t="n"/>
      <c r="J222" s="44" t="n"/>
      <c r="K222" s="44" t="n"/>
      <c r="L222" s="41">
        <f>IF(B222="","",IF(OR(COUNTIF(Settings!$E$4:$E$9,D222)&gt;0,I222="Yes",J222="Yes",K222="Fair lending allegation"),"Escalated","Standard"))</f>
        <v/>
      </c>
      <c r="M222" s="45" t="n"/>
      <c r="N222" s="45" t="n"/>
      <c r="O222" s="42">
        <f>IF(B222="","",WORKDAY(B222,Settings!$B$7))</f>
        <v/>
      </c>
      <c r="P222" s="45" t="n"/>
      <c r="Q222" s="45" t="n"/>
      <c r="R222" s="42">
        <f>IF(B222="","",IF(Q222&lt;&gt;"",MIN(Q222,IF(L222="Escalated",B222+Settings!$B$9,WORKDAY(B222,Settings!$B$8))),IF(L222="Escalated",B222+Settings!$B$9,WORKDAY(B222,Settings!$B$8))))</f>
        <v/>
      </c>
      <c r="S222" s="45" t="n"/>
      <c r="T222" s="44" t="n"/>
      <c r="U222" s="46" t="n"/>
      <c r="V222" s="44" t="n"/>
      <c r="W222" s="44" t="n"/>
      <c r="X222" s="44" t="n"/>
      <c r="Y222" s="41">
        <f>IF(B222="","",IF(S222&lt;&gt;"",S222,Settings!$B$4)-B222)</f>
        <v/>
      </c>
      <c r="Z222" s="41">
        <f>IF(B222="","",IF(S222&lt;&gt;"",IF(S222&gt;R222,"Closed late","Closed on time"),IF(Settings!$B$4&gt;R222,"Open: overdue","Open")))</f>
        <v/>
      </c>
      <c r="AA222" s="41">
        <f>IF(B222="","",IF(NETWORKDAYS(B222,C222)-1&gt;Settings!$B$5,"Logged late",IF(AND(L222="Escalated",M222=""),"Escalate to Compliance",IF(AND(L222="Escalated",N222=""),"Notify Sponsor Bank",IF(AND(L222="Escalated",N222&lt;&gt;"",NETWORKDAYS(B222,N222)-1&gt;Settings!$B$10),"Sponsor Bank notified late",IF(AND(K222&lt;&gt;"",K222&lt;&gt;"None",Q222=""),"Enter the legal deadline",IF(AND(S222&lt;&gt;"",OR(T222="",V222="")),"Record outcome and root cause",IF(AND(P222="",S222="",Settings!$B$4&gt;O222),"Acknowledgment overdue",""))))))))</f>
        <v/>
      </c>
    </row>
    <row r="223" ht="15.75" customHeight="1" s="31">
      <c r="A223" s="44" t="n"/>
      <c r="B223" s="45" t="n"/>
      <c r="C223" s="45" t="n"/>
      <c r="D223" s="44" t="n"/>
      <c r="E223" s="44" t="n"/>
      <c r="F223" s="44" t="n"/>
      <c r="G223" s="44" t="n"/>
      <c r="H223" s="44" t="n"/>
      <c r="I223" s="44" t="n"/>
      <c r="J223" s="44" t="n"/>
      <c r="K223" s="44" t="n"/>
      <c r="L223" s="41">
        <f>IF(B223="","",IF(OR(COUNTIF(Settings!$E$4:$E$9,D223)&gt;0,I223="Yes",J223="Yes",K223="Fair lending allegation"),"Escalated","Standard"))</f>
        <v/>
      </c>
      <c r="M223" s="45" t="n"/>
      <c r="N223" s="45" t="n"/>
      <c r="O223" s="42">
        <f>IF(B223="","",WORKDAY(B223,Settings!$B$7))</f>
        <v/>
      </c>
      <c r="P223" s="45" t="n"/>
      <c r="Q223" s="45" t="n"/>
      <c r="R223" s="42">
        <f>IF(B223="","",IF(Q223&lt;&gt;"",MIN(Q223,IF(L223="Escalated",B223+Settings!$B$9,WORKDAY(B223,Settings!$B$8))),IF(L223="Escalated",B223+Settings!$B$9,WORKDAY(B223,Settings!$B$8))))</f>
        <v/>
      </c>
      <c r="S223" s="45" t="n"/>
      <c r="T223" s="44" t="n"/>
      <c r="U223" s="46" t="n"/>
      <c r="V223" s="44" t="n"/>
      <c r="W223" s="44" t="n"/>
      <c r="X223" s="44" t="n"/>
      <c r="Y223" s="41">
        <f>IF(B223="","",IF(S223&lt;&gt;"",S223,Settings!$B$4)-B223)</f>
        <v/>
      </c>
      <c r="Z223" s="41">
        <f>IF(B223="","",IF(S223&lt;&gt;"",IF(S223&gt;R223,"Closed late","Closed on time"),IF(Settings!$B$4&gt;R223,"Open: overdue","Open")))</f>
        <v/>
      </c>
      <c r="AA223" s="41">
        <f>IF(B223="","",IF(NETWORKDAYS(B223,C223)-1&gt;Settings!$B$5,"Logged late",IF(AND(L223="Escalated",M223=""),"Escalate to Compliance",IF(AND(L223="Escalated",N223=""),"Notify Sponsor Bank",IF(AND(L223="Escalated",N223&lt;&gt;"",NETWORKDAYS(B223,N223)-1&gt;Settings!$B$10),"Sponsor Bank notified late",IF(AND(K223&lt;&gt;"",K223&lt;&gt;"None",Q223=""),"Enter the legal deadline",IF(AND(S223&lt;&gt;"",OR(T223="",V223="")),"Record outcome and root cause",IF(AND(P223="",S223="",Settings!$B$4&gt;O223),"Acknowledgment overdue",""))))))))</f>
        <v/>
      </c>
    </row>
    <row r="224" ht="15.75" customHeight="1" s="31">
      <c r="A224" s="44" t="n"/>
      <c r="B224" s="45" t="n"/>
      <c r="C224" s="45" t="n"/>
      <c r="D224" s="44" t="n"/>
      <c r="E224" s="44" t="n"/>
      <c r="F224" s="44" t="n"/>
      <c r="G224" s="44" t="n"/>
      <c r="H224" s="44" t="n"/>
      <c r="I224" s="44" t="n"/>
      <c r="J224" s="44" t="n"/>
      <c r="K224" s="44" t="n"/>
      <c r="L224" s="41">
        <f>IF(B224="","",IF(OR(COUNTIF(Settings!$E$4:$E$9,D224)&gt;0,I224="Yes",J224="Yes",K224="Fair lending allegation"),"Escalated","Standard"))</f>
        <v/>
      </c>
      <c r="M224" s="45" t="n"/>
      <c r="N224" s="45" t="n"/>
      <c r="O224" s="42">
        <f>IF(B224="","",WORKDAY(B224,Settings!$B$7))</f>
        <v/>
      </c>
      <c r="P224" s="45" t="n"/>
      <c r="Q224" s="45" t="n"/>
      <c r="R224" s="42">
        <f>IF(B224="","",IF(Q224&lt;&gt;"",MIN(Q224,IF(L224="Escalated",B224+Settings!$B$9,WORKDAY(B224,Settings!$B$8))),IF(L224="Escalated",B224+Settings!$B$9,WORKDAY(B224,Settings!$B$8))))</f>
        <v/>
      </c>
      <c r="S224" s="45" t="n"/>
      <c r="T224" s="44" t="n"/>
      <c r="U224" s="46" t="n"/>
      <c r="V224" s="44" t="n"/>
      <c r="W224" s="44" t="n"/>
      <c r="X224" s="44" t="n"/>
      <c r="Y224" s="41">
        <f>IF(B224="","",IF(S224&lt;&gt;"",S224,Settings!$B$4)-B224)</f>
        <v/>
      </c>
      <c r="Z224" s="41">
        <f>IF(B224="","",IF(S224&lt;&gt;"",IF(S224&gt;R224,"Closed late","Closed on time"),IF(Settings!$B$4&gt;R224,"Open: overdue","Open")))</f>
        <v/>
      </c>
      <c r="AA224" s="41">
        <f>IF(B224="","",IF(NETWORKDAYS(B224,C224)-1&gt;Settings!$B$5,"Logged late",IF(AND(L224="Escalated",M224=""),"Escalate to Compliance",IF(AND(L224="Escalated",N224=""),"Notify Sponsor Bank",IF(AND(L224="Escalated",N224&lt;&gt;"",NETWORKDAYS(B224,N224)-1&gt;Settings!$B$10),"Sponsor Bank notified late",IF(AND(K224&lt;&gt;"",K224&lt;&gt;"None",Q224=""),"Enter the legal deadline",IF(AND(S224&lt;&gt;"",OR(T224="",V224="")),"Record outcome and root cause",IF(AND(P224="",S224="",Settings!$B$4&gt;O224),"Acknowledgment overdue",""))))))))</f>
        <v/>
      </c>
    </row>
    <row r="225" ht="15.75" customHeight="1" s="31">
      <c r="A225" s="44" t="n"/>
      <c r="B225" s="45" t="n"/>
      <c r="C225" s="45" t="n"/>
      <c r="D225" s="44" t="n"/>
      <c r="E225" s="44" t="n"/>
      <c r="F225" s="44" t="n"/>
      <c r="G225" s="44" t="n"/>
      <c r="H225" s="44" t="n"/>
      <c r="I225" s="44" t="n"/>
      <c r="J225" s="44" t="n"/>
      <c r="K225" s="44" t="n"/>
      <c r="L225" s="41">
        <f>IF(B225="","",IF(OR(COUNTIF(Settings!$E$4:$E$9,D225)&gt;0,I225="Yes",J225="Yes",K225="Fair lending allegation"),"Escalated","Standard"))</f>
        <v/>
      </c>
      <c r="M225" s="45" t="n"/>
      <c r="N225" s="45" t="n"/>
      <c r="O225" s="42">
        <f>IF(B225="","",WORKDAY(B225,Settings!$B$7))</f>
        <v/>
      </c>
      <c r="P225" s="45" t="n"/>
      <c r="Q225" s="45" t="n"/>
      <c r="R225" s="42">
        <f>IF(B225="","",IF(Q225&lt;&gt;"",MIN(Q225,IF(L225="Escalated",B225+Settings!$B$9,WORKDAY(B225,Settings!$B$8))),IF(L225="Escalated",B225+Settings!$B$9,WORKDAY(B225,Settings!$B$8))))</f>
        <v/>
      </c>
      <c r="S225" s="45" t="n"/>
      <c r="T225" s="44" t="n"/>
      <c r="U225" s="46" t="n"/>
      <c r="V225" s="44" t="n"/>
      <c r="W225" s="44" t="n"/>
      <c r="X225" s="44" t="n"/>
      <c r="Y225" s="41">
        <f>IF(B225="","",IF(S225&lt;&gt;"",S225,Settings!$B$4)-B225)</f>
        <v/>
      </c>
      <c r="Z225" s="41">
        <f>IF(B225="","",IF(S225&lt;&gt;"",IF(S225&gt;R225,"Closed late","Closed on time"),IF(Settings!$B$4&gt;R225,"Open: overdue","Open")))</f>
        <v/>
      </c>
      <c r="AA225" s="41">
        <f>IF(B225="","",IF(NETWORKDAYS(B225,C225)-1&gt;Settings!$B$5,"Logged late",IF(AND(L225="Escalated",M225=""),"Escalate to Compliance",IF(AND(L225="Escalated",N225=""),"Notify Sponsor Bank",IF(AND(L225="Escalated",N225&lt;&gt;"",NETWORKDAYS(B225,N225)-1&gt;Settings!$B$10),"Sponsor Bank notified late",IF(AND(K225&lt;&gt;"",K225&lt;&gt;"None",Q225=""),"Enter the legal deadline",IF(AND(S225&lt;&gt;"",OR(T225="",V225="")),"Record outcome and root cause",IF(AND(P225="",S225="",Settings!$B$4&gt;O225),"Acknowledgment overdue",""))))))))</f>
        <v/>
      </c>
    </row>
    <row r="226" ht="15.75" customHeight="1" s="31">
      <c r="A226" s="44" t="n"/>
      <c r="B226" s="45" t="n"/>
      <c r="C226" s="45" t="n"/>
      <c r="D226" s="44" t="n"/>
      <c r="E226" s="44" t="n"/>
      <c r="F226" s="44" t="n"/>
      <c r="G226" s="44" t="n"/>
      <c r="H226" s="44" t="n"/>
      <c r="I226" s="44" t="n"/>
      <c r="J226" s="44" t="n"/>
      <c r="K226" s="44" t="n"/>
      <c r="L226" s="41">
        <f>IF(B226="","",IF(OR(COUNTIF(Settings!$E$4:$E$9,D226)&gt;0,I226="Yes",J226="Yes",K226="Fair lending allegation"),"Escalated","Standard"))</f>
        <v/>
      </c>
      <c r="M226" s="45" t="n"/>
      <c r="N226" s="45" t="n"/>
      <c r="O226" s="42">
        <f>IF(B226="","",WORKDAY(B226,Settings!$B$7))</f>
        <v/>
      </c>
      <c r="P226" s="45" t="n"/>
      <c r="Q226" s="45" t="n"/>
      <c r="R226" s="42">
        <f>IF(B226="","",IF(Q226&lt;&gt;"",MIN(Q226,IF(L226="Escalated",B226+Settings!$B$9,WORKDAY(B226,Settings!$B$8))),IF(L226="Escalated",B226+Settings!$B$9,WORKDAY(B226,Settings!$B$8))))</f>
        <v/>
      </c>
      <c r="S226" s="45" t="n"/>
      <c r="T226" s="44" t="n"/>
      <c r="U226" s="46" t="n"/>
      <c r="V226" s="44" t="n"/>
      <c r="W226" s="44" t="n"/>
      <c r="X226" s="44" t="n"/>
      <c r="Y226" s="41">
        <f>IF(B226="","",IF(S226&lt;&gt;"",S226,Settings!$B$4)-B226)</f>
        <v/>
      </c>
      <c r="Z226" s="41">
        <f>IF(B226="","",IF(S226&lt;&gt;"",IF(S226&gt;R226,"Closed late","Closed on time"),IF(Settings!$B$4&gt;R226,"Open: overdue","Open")))</f>
        <v/>
      </c>
      <c r="AA226" s="41">
        <f>IF(B226="","",IF(NETWORKDAYS(B226,C226)-1&gt;Settings!$B$5,"Logged late",IF(AND(L226="Escalated",M226=""),"Escalate to Compliance",IF(AND(L226="Escalated",N226=""),"Notify Sponsor Bank",IF(AND(L226="Escalated",N226&lt;&gt;"",NETWORKDAYS(B226,N226)-1&gt;Settings!$B$10),"Sponsor Bank notified late",IF(AND(K226&lt;&gt;"",K226&lt;&gt;"None",Q226=""),"Enter the legal deadline",IF(AND(S226&lt;&gt;"",OR(T226="",V226="")),"Record outcome and root cause",IF(AND(P226="",S226="",Settings!$B$4&gt;O226),"Acknowledgment overdue",""))))))))</f>
        <v/>
      </c>
    </row>
    <row r="227" ht="15.75" customHeight="1" s="31">
      <c r="A227" s="44" t="n"/>
      <c r="B227" s="45" t="n"/>
      <c r="C227" s="45" t="n"/>
      <c r="D227" s="44" t="n"/>
      <c r="E227" s="44" t="n"/>
      <c r="F227" s="44" t="n"/>
      <c r="G227" s="44" t="n"/>
      <c r="H227" s="44" t="n"/>
      <c r="I227" s="44" t="n"/>
      <c r="J227" s="44" t="n"/>
      <c r="K227" s="44" t="n"/>
      <c r="L227" s="41">
        <f>IF(B227="","",IF(OR(COUNTIF(Settings!$E$4:$E$9,D227)&gt;0,I227="Yes",J227="Yes",K227="Fair lending allegation"),"Escalated","Standard"))</f>
        <v/>
      </c>
      <c r="M227" s="45" t="n"/>
      <c r="N227" s="45" t="n"/>
      <c r="O227" s="42">
        <f>IF(B227="","",WORKDAY(B227,Settings!$B$7))</f>
        <v/>
      </c>
      <c r="P227" s="45" t="n"/>
      <c r="Q227" s="45" t="n"/>
      <c r="R227" s="42">
        <f>IF(B227="","",IF(Q227&lt;&gt;"",MIN(Q227,IF(L227="Escalated",B227+Settings!$B$9,WORKDAY(B227,Settings!$B$8))),IF(L227="Escalated",B227+Settings!$B$9,WORKDAY(B227,Settings!$B$8))))</f>
        <v/>
      </c>
      <c r="S227" s="45" t="n"/>
      <c r="T227" s="44" t="n"/>
      <c r="U227" s="46" t="n"/>
      <c r="V227" s="44" t="n"/>
      <c r="W227" s="44" t="n"/>
      <c r="X227" s="44" t="n"/>
      <c r="Y227" s="41">
        <f>IF(B227="","",IF(S227&lt;&gt;"",S227,Settings!$B$4)-B227)</f>
        <v/>
      </c>
      <c r="Z227" s="41">
        <f>IF(B227="","",IF(S227&lt;&gt;"",IF(S227&gt;R227,"Closed late","Closed on time"),IF(Settings!$B$4&gt;R227,"Open: overdue","Open")))</f>
        <v/>
      </c>
      <c r="AA227" s="41">
        <f>IF(B227="","",IF(NETWORKDAYS(B227,C227)-1&gt;Settings!$B$5,"Logged late",IF(AND(L227="Escalated",M227=""),"Escalate to Compliance",IF(AND(L227="Escalated",N227=""),"Notify Sponsor Bank",IF(AND(L227="Escalated",N227&lt;&gt;"",NETWORKDAYS(B227,N227)-1&gt;Settings!$B$10),"Sponsor Bank notified late",IF(AND(K227&lt;&gt;"",K227&lt;&gt;"None",Q227=""),"Enter the legal deadline",IF(AND(S227&lt;&gt;"",OR(T227="",V227="")),"Record outcome and root cause",IF(AND(P227="",S227="",Settings!$B$4&gt;O227),"Acknowledgment overdue",""))))))))</f>
        <v/>
      </c>
    </row>
    <row r="228" ht="15.75" customHeight="1" s="31">
      <c r="A228" s="44" t="n"/>
      <c r="B228" s="45" t="n"/>
      <c r="C228" s="45" t="n"/>
      <c r="D228" s="44" t="n"/>
      <c r="E228" s="44" t="n"/>
      <c r="F228" s="44" t="n"/>
      <c r="G228" s="44" t="n"/>
      <c r="H228" s="44" t="n"/>
      <c r="I228" s="44" t="n"/>
      <c r="J228" s="44" t="n"/>
      <c r="K228" s="44" t="n"/>
      <c r="L228" s="41">
        <f>IF(B228="","",IF(OR(COUNTIF(Settings!$E$4:$E$9,D228)&gt;0,I228="Yes",J228="Yes",K228="Fair lending allegation"),"Escalated","Standard"))</f>
        <v/>
      </c>
      <c r="M228" s="45" t="n"/>
      <c r="N228" s="45" t="n"/>
      <c r="O228" s="42">
        <f>IF(B228="","",WORKDAY(B228,Settings!$B$7))</f>
        <v/>
      </c>
      <c r="P228" s="45" t="n"/>
      <c r="Q228" s="45" t="n"/>
      <c r="R228" s="42">
        <f>IF(B228="","",IF(Q228&lt;&gt;"",MIN(Q228,IF(L228="Escalated",B228+Settings!$B$9,WORKDAY(B228,Settings!$B$8))),IF(L228="Escalated",B228+Settings!$B$9,WORKDAY(B228,Settings!$B$8))))</f>
        <v/>
      </c>
      <c r="S228" s="45" t="n"/>
      <c r="T228" s="44" t="n"/>
      <c r="U228" s="46" t="n"/>
      <c r="V228" s="44" t="n"/>
      <c r="W228" s="44" t="n"/>
      <c r="X228" s="44" t="n"/>
      <c r="Y228" s="41">
        <f>IF(B228="","",IF(S228&lt;&gt;"",S228,Settings!$B$4)-B228)</f>
        <v/>
      </c>
      <c r="Z228" s="41">
        <f>IF(B228="","",IF(S228&lt;&gt;"",IF(S228&gt;R228,"Closed late","Closed on time"),IF(Settings!$B$4&gt;R228,"Open: overdue","Open")))</f>
        <v/>
      </c>
      <c r="AA228" s="41">
        <f>IF(B228="","",IF(NETWORKDAYS(B228,C228)-1&gt;Settings!$B$5,"Logged late",IF(AND(L228="Escalated",M228=""),"Escalate to Compliance",IF(AND(L228="Escalated",N228=""),"Notify Sponsor Bank",IF(AND(L228="Escalated",N228&lt;&gt;"",NETWORKDAYS(B228,N228)-1&gt;Settings!$B$10),"Sponsor Bank notified late",IF(AND(K228&lt;&gt;"",K228&lt;&gt;"None",Q228=""),"Enter the legal deadline",IF(AND(S228&lt;&gt;"",OR(T228="",V228="")),"Record outcome and root cause",IF(AND(P228="",S228="",Settings!$B$4&gt;O228),"Acknowledgment overdue",""))))))))</f>
        <v/>
      </c>
    </row>
    <row r="229" ht="15.75" customHeight="1" s="31">
      <c r="A229" s="44" t="n"/>
      <c r="B229" s="45" t="n"/>
      <c r="C229" s="45" t="n"/>
      <c r="D229" s="44" t="n"/>
      <c r="E229" s="44" t="n"/>
      <c r="F229" s="44" t="n"/>
      <c r="G229" s="44" t="n"/>
      <c r="H229" s="44" t="n"/>
      <c r="I229" s="44" t="n"/>
      <c r="J229" s="44" t="n"/>
      <c r="K229" s="44" t="n"/>
      <c r="L229" s="41">
        <f>IF(B229="","",IF(OR(COUNTIF(Settings!$E$4:$E$9,D229)&gt;0,I229="Yes",J229="Yes",K229="Fair lending allegation"),"Escalated","Standard"))</f>
        <v/>
      </c>
      <c r="M229" s="45" t="n"/>
      <c r="N229" s="45" t="n"/>
      <c r="O229" s="42">
        <f>IF(B229="","",WORKDAY(B229,Settings!$B$7))</f>
        <v/>
      </c>
      <c r="P229" s="45" t="n"/>
      <c r="Q229" s="45" t="n"/>
      <c r="R229" s="42">
        <f>IF(B229="","",IF(Q229&lt;&gt;"",MIN(Q229,IF(L229="Escalated",B229+Settings!$B$9,WORKDAY(B229,Settings!$B$8))),IF(L229="Escalated",B229+Settings!$B$9,WORKDAY(B229,Settings!$B$8))))</f>
        <v/>
      </c>
      <c r="S229" s="45" t="n"/>
      <c r="T229" s="44" t="n"/>
      <c r="U229" s="46" t="n"/>
      <c r="V229" s="44" t="n"/>
      <c r="W229" s="44" t="n"/>
      <c r="X229" s="44" t="n"/>
      <c r="Y229" s="41">
        <f>IF(B229="","",IF(S229&lt;&gt;"",S229,Settings!$B$4)-B229)</f>
        <v/>
      </c>
      <c r="Z229" s="41">
        <f>IF(B229="","",IF(S229&lt;&gt;"",IF(S229&gt;R229,"Closed late","Closed on time"),IF(Settings!$B$4&gt;R229,"Open: overdue","Open")))</f>
        <v/>
      </c>
      <c r="AA229" s="41">
        <f>IF(B229="","",IF(NETWORKDAYS(B229,C229)-1&gt;Settings!$B$5,"Logged late",IF(AND(L229="Escalated",M229=""),"Escalate to Compliance",IF(AND(L229="Escalated",N229=""),"Notify Sponsor Bank",IF(AND(L229="Escalated",N229&lt;&gt;"",NETWORKDAYS(B229,N229)-1&gt;Settings!$B$10),"Sponsor Bank notified late",IF(AND(K229&lt;&gt;"",K229&lt;&gt;"None",Q229=""),"Enter the legal deadline",IF(AND(S229&lt;&gt;"",OR(T229="",V229="")),"Record outcome and root cause",IF(AND(P229="",S229="",Settings!$B$4&gt;O229),"Acknowledgment overdue",""))))))))</f>
        <v/>
      </c>
    </row>
    <row r="230" ht="15.75" customHeight="1" s="31">
      <c r="A230" s="44" t="n"/>
      <c r="B230" s="45" t="n"/>
      <c r="C230" s="45" t="n"/>
      <c r="D230" s="44" t="n"/>
      <c r="E230" s="44" t="n"/>
      <c r="F230" s="44" t="n"/>
      <c r="G230" s="44" t="n"/>
      <c r="H230" s="44" t="n"/>
      <c r="I230" s="44" t="n"/>
      <c r="J230" s="44" t="n"/>
      <c r="K230" s="44" t="n"/>
      <c r="L230" s="41">
        <f>IF(B230="","",IF(OR(COUNTIF(Settings!$E$4:$E$9,D230)&gt;0,I230="Yes",J230="Yes",K230="Fair lending allegation"),"Escalated","Standard"))</f>
        <v/>
      </c>
      <c r="M230" s="45" t="n"/>
      <c r="N230" s="45" t="n"/>
      <c r="O230" s="42">
        <f>IF(B230="","",WORKDAY(B230,Settings!$B$7))</f>
        <v/>
      </c>
      <c r="P230" s="45" t="n"/>
      <c r="Q230" s="45" t="n"/>
      <c r="R230" s="42">
        <f>IF(B230="","",IF(Q230&lt;&gt;"",MIN(Q230,IF(L230="Escalated",B230+Settings!$B$9,WORKDAY(B230,Settings!$B$8))),IF(L230="Escalated",B230+Settings!$B$9,WORKDAY(B230,Settings!$B$8))))</f>
        <v/>
      </c>
      <c r="S230" s="45" t="n"/>
      <c r="T230" s="44" t="n"/>
      <c r="U230" s="46" t="n"/>
      <c r="V230" s="44" t="n"/>
      <c r="W230" s="44" t="n"/>
      <c r="X230" s="44" t="n"/>
      <c r="Y230" s="41">
        <f>IF(B230="","",IF(S230&lt;&gt;"",S230,Settings!$B$4)-B230)</f>
        <v/>
      </c>
      <c r="Z230" s="41">
        <f>IF(B230="","",IF(S230&lt;&gt;"",IF(S230&gt;R230,"Closed late","Closed on time"),IF(Settings!$B$4&gt;R230,"Open: overdue","Open")))</f>
        <v/>
      </c>
      <c r="AA230" s="41">
        <f>IF(B230="","",IF(NETWORKDAYS(B230,C230)-1&gt;Settings!$B$5,"Logged late",IF(AND(L230="Escalated",M230=""),"Escalate to Compliance",IF(AND(L230="Escalated",N230=""),"Notify Sponsor Bank",IF(AND(L230="Escalated",N230&lt;&gt;"",NETWORKDAYS(B230,N230)-1&gt;Settings!$B$10),"Sponsor Bank notified late",IF(AND(K230&lt;&gt;"",K230&lt;&gt;"None",Q230=""),"Enter the legal deadline",IF(AND(S230&lt;&gt;"",OR(T230="",V230="")),"Record outcome and root cause",IF(AND(P230="",S230="",Settings!$B$4&gt;O230),"Acknowledgment overdue",""))))))))</f>
        <v/>
      </c>
    </row>
    <row r="231" ht="15.75" customHeight="1" s="31">
      <c r="A231" s="44" t="n"/>
      <c r="B231" s="45" t="n"/>
      <c r="C231" s="45" t="n"/>
      <c r="D231" s="44" t="n"/>
      <c r="E231" s="44" t="n"/>
      <c r="F231" s="44" t="n"/>
      <c r="G231" s="44" t="n"/>
      <c r="H231" s="44" t="n"/>
      <c r="I231" s="44" t="n"/>
      <c r="J231" s="44" t="n"/>
      <c r="K231" s="44" t="n"/>
      <c r="L231" s="41">
        <f>IF(B231="","",IF(OR(COUNTIF(Settings!$E$4:$E$9,D231)&gt;0,I231="Yes",J231="Yes",K231="Fair lending allegation"),"Escalated","Standard"))</f>
        <v/>
      </c>
      <c r="M231" s="45" t="n"/>
      <c r="N231" s="45" t="n"/>
      <c r="O231" s="42">
        <f>IF(B231="","",WORKDAY(B231,Settings!$B$7))</f>
        <v/>
      </c>
      <c r="P231" s="45" t="n"/>
      <c r="Q231" s="45" t="n"/>
      <c r="R231" s="42">
        <f>IF(B231="","",IF(Q231&lt;&gt;"",MIN(Q231,IF(L231="Escalated",B231+Settings!$B$9,WORKDAY(B231,Settings!$B$8))),IF(L231="Escalated",B231+Settings!$B$9,WORKDAY(B231,Settings!$B$8))))</f>
        <v/>
      </c>
      <c r="S231" s="45" t="n"/>
      <c r="T231" s="44" t="n"/>
      <c r="U231" s="46" t="n"/>
      <c r="V231" s="44" t="n"/>
      <c r="W231" s="44" t="n"/>
      <c r="X231" s="44" t="n"/>
      <c r="Y231" s="41">
        <f>IF(B231="","",IF(S231&lt;&gt;"",S231,Settings!$B$4)-B231)</f>
        <v/>
      </c>
      <c r="Z231" s="41">
        <f>IF(B231="","",IF(S231&lt;&gt;"",IF(S231&gt;R231,"Closed late","Closed on time"),IF(Settings!$B$4&gt;R231,"Open: overdue","Open")))</f>
        <v/>
      </c>
      <c r="AA231" s="41">
        <f>IF(B231="","",IF(NETWORKDAYS(B231,C231)-1&gt;Settings!$B$5,"Logged late",IF(AND(L231="Escalated",M231=""),"Escalate to Compliance",IF(AND(L231="Escalated",N231=""),"Notify Sponsor Bank",IF(AND(L231="Escalated",N231&lt;&gt;"",NETWORKDAYS(B231,N231)-1&gt;Settings!$B$10),"Sponsor Bank notified late",IF(AND(K231&lt;&gt;"",K231&lt;&gt;"None",Q231=""),"Enter the legal deadline",IF(AND(S231&lt;&gt;"",OR(T231="",V231="")),"Record outcome and root cause",IF(AND(P231="",S231="",Settings!$B$4&gt;O231),"Acknowledgment overdue",""))))))))</f>
        <v/>
      </c>
    </row>
    <row r="232" ht="15.75" customHeight="1" s="31">
      <c r="A232" s="44" t="n"/>
      <c r="B232" s="45" t="n"/>
      <c r="C232" s="45" t="n"/>
      <c r="D232" s="44" t="n"/>
      <c r="E232" s="44" t="n"/>
      <c r="F232" s="44" t="n"/>
      <c r="G232" s="44" t="n"/>
      <c r="H232" s="44" t="n"/>
      <c r="I232" s="44" t="n"/>
      <c r="J232" s="44" t="n"/>
      <c r="K232" s="44" t="n"/>
      <c r="L232" s="41">
        <f>IF(B232="","",IF(OR(COUNTIF(Settings!$E$4:$E$9,D232)&gt;0,I232="Yes",J232="Yes",K232="Fair lending allegation"),"Escalated","Standard"))</f>
        <v/>
      </c>
      <c r="M232" s="45" t="n"/>
      <c r="N232" s="45" t="n"/>
      <c r="O232" s="42">
        <f>IF(B232="","",WORKDAY(B232,Settings!$B$7))</f>
        <v/>
      </c>
      <c r="P232" s="45" t="n"/>
      <c r="Q232" s="45" t="n"/>
      <c r="R232" s="42">
        <f>IF(B232="","",IF(Q232&lt;&gt;"",MIN(Q232,IF(L232="Escalated",B232+Settings!$B$9,WORKDAY(B232,Settings!$B$8))),IF(L232="Escalated",B232+Settings!$B$9,WORKDAY(B232,Settings!$B$8))))</f>
        <v/>
      </c>
      <c r="S232" s="45" t="n"/>
      <c r="T232" s="44" t="n"/>
      <c r="U232" s="46" t="n"/>
      <c r="V232" s="44" t="n"/>
      <c r="W232" s="44" t="n"/>
      <c r="X232" s="44" t="n"/>
      <c r="Y232" s="41">
        <f>IF(B232="","",IF(S232&lt;&gt;"",S232,Settings!$B$4)-B232)</f>
        <v/>
      </c>
      <c r="Z232" s="41">
        <f>IF(B232="","",IF(S232&lt;&gt;"",IF(S232&gt;R232,"Closed late","Closed on time"),IF(Settings!$B$4&gt;R232,"Open: overdue","Open")))</f>
        <v/>
      </c>
      <c r="AA232" s="41">
        <f>IF(B232="","",IF(NETWORKDAYS(B232,C232)-1&gt;Settings!$B$5,"Logged late",IF(AND(L232="Escalated",M232=""),"Escalate to Compliance",IF(AND(L232="Escalated",N232=""),"Notify Sponsor Bank",IF(AND(L232="Escalated",N232&lt;&gt;"",NETWORKDAYS(B232,N232)-1&gt;Settings!$B$10),"Sponsor Bank notified late",IF(AND(K232&lt;&gt;"",K232&lt;&gt;"None",Q232=""),"Enter the legal deadline",IF(AND(S232&lt;&gt;"",OR(T232="",V232="")),"Record outcome and root cause",IF(AND(P232="",S232="",Settings!$B$4&gt;O232),"Acknowledgment overdue",""))))))))</f>
        <v/>
      </c>
    </row>
    <row r="233" ht="15.75" customHeight="1" s="31">
      <c r="A233" s="44" t="n"/>
      <c r="B233" s="45" t="n"/>
      <c r="C233" s="45" t="n"/>
      <c r="D233" s="44" t="n"/>
      <c r="E233" s="44" t="n"/>
      <c r="F233" s="44" t="n"/>
      <c r="G233" s="44" t="n"/>
      <c r="H233" s="44" t="n"/>
      <c r="I233" s="44" t="n"/>
      <c r="J233" s="44" t="n"/>
      <c r="K233" s="44" t="n"/>
      <c r="L233" s="41">
        <f>IF(B233="","",IF(OR(COUNTIF(Settings!$E$4:$E$9,D233)&gt;0,I233="Yes",J233="Yes",K233="Fair lending allegation"),"Escalated","Standard"))</f>
        <v/>
      </c>
      <c r="M233" s="45" t="n"/>
      <c r="N233" s="45" t="n"/>
      <c r="O233" s="42">
        <f>IF(B233="","",WORKDAY(B233,Settings!$B$7))</f>
        <v/>
      </c>
      <c r="P233" s="45" t="n"/>
      <c r="Q233" s="45" t="n"/>
      <c r="R233" s="42">
        <f>IF(B233="","",IF(Q233&lt;&gt;"",MIN(Q233,IF(L233="Escalated",B233+Settings!$B$9,WORKDAY(B233,Settings!$B$8))),IF(L233="Escalated",B233+Settings!$B$9,WORKDAY(B233,Settings!$B$8))))</f>
        <v/>
      </c>
      <c r="S233" s="45" t="n"/>
      <c r="T233" s="44" t="n"/>
      <c r="U233" s="46" t="n"/>
      <c r="V233" s="44" t="n"/>
      <c r="W233" s="44" t="n"/>
      <c r="X233" s="44" t="n"/>
      <c r="Y233" s="41">
        <f>IF(B233="","",IF(S233&lt;&gt;"",S233,Settings!$B$4)-B233)</f>
        <v/>
      </c>
      <c r="Z233" s="41">
        <f>IF(B233="","",IF(S233&lt;&gt;"",IF(S233&gt;R233,"Closed late","Closed on time"),IF(Settings!$B$4&gt;R233,"Open: overdue","Open")))</f>
        <v/>
      </c>
      <c r="AA233" s="41">
        <f>IF(B233="","",IF(NETWORKDAYS(B233,C233)-1&gt;Settings!$B$5,"Logged late",IF(AND(L233="Escalated",M233=""),"Escalate to Compliance",IF(AND(L233="Escalated",N233=""),"Notify Sponsor Bank",IF(AND(L233="Escalated",N233&lt;&gt;"",NETWORKDAYS(B233,N233)-1&gt;Settings!$B$10),"Sponsor Bank notified late",IF(AND(K233&lt;&gt;"",K233&lt;&gt;"None",Q233=""),"Enter the legal deadline",IF(AND(S233&lt;&gt;"",OR(T233="",V233="")),"Record outcome and root cause",IF(AND(P233="",S233="",Settings!$B$4&gt;O233),"Acknowledgment overdue",""))))))))</f>
        <v/>
      </c>
    </row>
    <row r="234" ht="15.75" customHeight="1" s="31">
      <c r="A234" s="44" t="n"/>
      <c r="B234" s="45" t="n"/>
      <c r="C234" s="45" t="n"/>
      <c r="D234" s="44" t="n"/>
      <c r="E234" s="44" t="n"/>
      <c r="F234" s="44" t="n"/>
      <c r="G234" s="44" t="n"/>
      <c r="H234" s="44" t="n"/>
      <c r="I234" s="44" t="n"/>
      <c r="J234" s="44" t="n"/>
      <c r="K234" s="44" t="n"/>
      <c r="L234" s="41">
        <f>IF(B234="","",IF(OR(COUNTIF(Settings!$E$4:$E$9,D234)&gt;0,I234="Yes",J234="Yes",K234="Fair lending allegation"),"Escalated","Standard"))</f>
        <v/>
      </c>
      <c r="M234" s="45" t="n"/>
      <c r="N234" s="45" t="n"/>
      <c r="O234" s="42">
        <f>IF(B234="","",WORKDAY(B234,Settings!$B$7))</f>
        <v/>
      </c>
      <c r="P234" s="45" t="n"/>
      <c r="Q234" s="45" t="n"/>
      <c r="R234" s="42">
        <f>IF(B234="","",IF(Q234&lt;&gt;"",MIN(Q234,IF(L234="Escalated",B234+Settings!$B$9,WORKDAY(B234,Settings!$B$8))),IF(L234="Escalated",B234+Settings!$B$9,WORKDAY(B234,Settings!$B$8))))</f>
        <v/>
      </c>
      <c r="S234" s="45" t="n"/>
      <c r="T234" s="44" t="n"/>
      <c r="U234" s="46" t="n"/>
      <c r="V234" s="44" t="n"/>
      <c r="W234" s="44" t="n"/>
      <c r="X234" s="44" t="n"/>
      <c r="Y234" s="41">
        <f>IF(B234="","",IF(S234&lt;&gt;"",S234,Settings!$B$4)-B234)</f>
        <v/>
      </c>
      <c r="Z234" s="41">
        <f>IF(B234="","",IF(S234&lt;&gt;"",IF(S234&gt;R234,"Closed late","Closed on time"),IF(Settings!$B$4&gt;R234,"Open: overdue","Open")))</f>
        <v/>
      </c>
      <c r="AA234" s="41">
        <f>IF(B234="","",IF(NETWORKDAYS(B234,C234)-1&gt;Settings!$B$5,"Logged late",IF(AND(L234="Escalated",M234=""),"Escalate to Compliance",IF(AND(L234="Escalated",N234=""),"Notify Sponsor Bank",IF(AND(L234="Escalated",N234&lt;&gt;"",NETWORKDAYS(B234,N234)-1&gt;Settings!$B$10),"Sponsor Bank notified late",IF(AND(K234&lt;&gt;"",K234&lt;&gt;"None",Q234=""),"Enter the legal deadline",IF(AND(S234&lt;&gt;"",OR(T234="",V234="")),"Record outcome and root cause",IF(AND(P234="",S234="",Settings!$B$4&gt;O234),"Acknowledgment overdue",""))))))))</f>
        <v/>
      </c>
    </row>
    <row r="235" ht="15.75" customHeight="1" s="31">
      <c r="A235" s="44" t="n"/>
      <c r="B235" s="45" t="n"/>
      <c r="C235" s="45" t="n"/>
      <c r="D235" s="44" t="n"/>
      <c r="E235" s="44" t="n"/>
      <c r="F235" s="44" t="n"/>
      <c r="G235" s="44" t="n"/>
      <c r="H235" s="44" t="n"/>
      <c r="I235" s="44" t="n"/>
      <c r="J235" s="44" t="n"/>
      <c r="K235" s="44" t="n"/>
      <c r="L235" s="41">
        <f>IF(B235="","",IF(OR(COUNTIF(Settings!$E$4:$E$9,D235)&gt;0,I235="Yes",J235="Yes",K235="Fair lending allegation"),"Escalated","Standard"))</f>
        <v/>
      </c>
      <c r="M235" s="45" t="n"/>
      <c r="N235" s="45" t="n"/>
      <c r="O235" s="42">
        <f>IF(B235="","",WORKDAY(B235,Settings!$B$7))</f>
        <v/>
      </c>
      <c r="P235" s="45" t="n"/>
      <c r="Q235" s="45" t="n"/>
      <c r="R235" s="42">
        <f>IF(B235="","",IF(Q235&lt;&gt;"",MIN(Q235,IF(L235="Escalated",B235+Settings!$B$9,WORKDAY(B235,Settings!$B$8))),IF(L235="Escalated",B235+Settings!$B$9,WORKDAY(B235,Settings!$B$8))))</f>
        <v/>
      </c>
      <c r="S235" s="45" t="n"/>
      <c r="T235" s="44" t="n"/>
      <c r="U235" s="46" t="n"/>
      <c r="V235" s="44" t="n"/>
      <c r="W235" s="44" t="n"/>
      <c r="X235" s="44" t="n"/>
      <c r="Y235" s="41">
        <f>IF(B235="","",IF(S235&lt;&gt;"",S235,Settings!$B$4)-B235)</f>
        <v/>
      </c>
      <c r="Z235" s="41">
        <f>IF(B235="","",IF(S235&lt;&gt;"",IF(S235&gt;R235,"Closed late","Closed on time"),IF(Settings!$B$4&gt;R235,"Open: overdue","Open")))</f>
        <v/>
      </c>
      <c r="AA235" s="41">
        <f>IF(B235="","",IF(NETWORKDAYS(B235,C235)-1&gt;Settings!$B$5,"Logged late",IF(AND(L235="Escalated",M235=""),"Escalate to Compliance",IF(AND(L235="Escalated",N235=""),"Notify Sponsor Bank",IF(AND(L235="Escalated",N235&lt;&gt;"",NETWORKDAYS(B235,N235)-1&gt;Settings!$B$10),"Sponsor Bank notified late",IF(AND(K235&lt;&gt;"",K235&lt;&gt;"None",Q235=""),"Enter the legal deadline",IF(AND(S235&lt;&gt;"",OR(T235="",V235="")),"Record outcome and root cause",IF(AND(P235="",S235="",Settings!$B$4&gt;O235),"Acknowledgment overdue",""))))))))</f>
        <v/>
      </c>
    </row>
    <row r="236" ht="15.75" customHeight="1" s="31">
      <c r="A236" s="44" t="n"/>
      <c r="B236" s="45" t="n"/>
      <c r="C236" s="45" t="n"/>
      <c r="D236" s="44" t="n"/>
      <c r="E236" s="44" t="n"/>
      <c r="F236" s="44" t="n"/>
      <c r="G236" s="44" t="n"/>
      <c r="H236" s="44" t="n"/>
      <c r="I236" s="44" t="n"/>
      <c r="J236" s="44" t="n"/>
      <c r="K236" s="44" t="n"/>
      <c r="L236" s="41">
        <f>IF(B236="","",IF(OR(COUNTIF(Settings!$E$4:$E$9,D236)&gt;0,I236="Yes",J236="Yes",K236="Fair lending allegation"),"Escalated","Standard"))</f>
        <v/>
      </c>
      <c r="M236" s="45" t="n"/>
      <c r="N236" s="45" t="n"/>
      <c r="O236" s="42">
        <f>IF(B236="","",WORKDAY(B236,Settings!$B$7))</f>
        <v/>
      </c>
      <c r="P236" s="45" t="n"/>
      <c r="Q236" s="45" t="n"/>
      <c r="R236" s="42">
        <f>IF(B236="","",IF(Q236&lt;&gt;"",MIN(Q236,IF(L236="Escalated",B236+Settings!$B$9,WORKDAY(B236,Settings!$B$8))),IF(L236="Escalated",B236+Settings!$B$9,WORKDAY(B236,Settings!$B$8))))</f>
        <v/>
      </c>
      <c r="S236" s="45" t="n"/>
      <c r="T236" s="44" t="n"/>
      <c r="U236" s="46" t="n"/>
      <c r="V236" s="44" t="n"/>
      <c r="W236" s="44" t="n"/>
      <c r="X236" s="44" t="n"/>
      <c r="Y236" s="41">
        <f>IF(B236="","",IF(S236&lt;&gt;"",S236,Settings!$B$4)-B236)</f>
        <v/>
      </c>
      <c r="Z236" s="41">
        <f>IF(B236="","",IF(S236&lt;&gt;"",IF(S236&gt;R236,"Closed late","Closed on time"),IF(Settings!$B$4&gt;R236,"Open: overdue","Open")))</f>
        <v/>
      </c>
      <c r="AA236" s="41">
        <f>IF(B236="","",IF(NETWORKDAYS(B236,C236)-1&gt;Settings!$B$5,"Logged late",IF(AND(L236="Escalated",M236=""),"Escalate to Compliance",IF(AND(L236="Escalated",N236=""),"Notify Sponsor Bank",IF(AND(L236="Escalated",N236&lt;&gt;"",NETWORKDAYS(B236,N236)-1&gt;Settings!$B$10),"Sponsor Bank notified late",IF(AND(K236&lt;&gt;"",K236&lt;&gt;"None",Q236=""),"Enter the legal deadline",IF(AND(S236&lt;&gt;"",OR(T236="",V236="")),"Record outcome and root cause",IF(AND(P236="",S236="",Settings!$B$4&gt;O236),"Acknowledgment overdue",""))))))))</f>
        <v/>
      </c>
    </row>
    <row r="237" ht="15.75" customHeight="1" s="31">
      <c r="A237" s="44" t="n"/>
      <c r="B237" s="45" t="n"/>
      <c r="C237" s="45" t="n"/>
      <c r="D237" s="44" t="n"/>
      <c r="E237" s="44" t="n"/>
      <c r="F237" s="44" t="n"/>
      <c r="G237" s="44" t="n"/>
      <c r="H237" s="44" t="n"/>
      <c r="I237" s="44" t="n"/>
      <c r="J237" s="44" t="n"/>
      <c r="K237" s="44" t="n"/>
      <c r="L237" s="41">
        <f>IF(B237="","",IF(OR(COUNTIF(Settings!$E$4:$E$9,D237)&gt;0,I237="Yes",J237="Yes",K237="Fair lending allegation"),"Escalated","Standard"))</f>
        <v/>
      </c>
      <c r="M237" s="45" t="n"/>
      <c r="N237" s="45" t="n"/>
      <c r="O237" s="42">
        <f>IF(B237="","",WORKDAY(B237,Settings!$B$7))</f>
        <v/>
      </c>
      <c r="P237" s="45" t="n"/>
      <c r="Q237" s="45" t="n"/>
      <c r="R237" s="42">
        <f>IF(B237="","",IF(Q237&lt;&gt;"",MIN(Q237,IF(L237="Escalated",B237+Settings!$B$9,WORKDAY(B237,Settings!$B$8))),IF(L237="Escalated",B237+Settings!$B$9,WORKDAY(B237,Settings!$B$8))))</f>
        <v/>
      </c>
      <c r="S237" s="45" t="n"/>
      <c r="T237" s="44" t="n"/>
      <c r="U237" s="46" t="n"/>
      <c r="V237" s="44" t="n"/>
      <c r="W237" s="44" t="n"/>
      <c r="X237" s="44" t="n"/>
      <c r="Y237" s="41">
        <f>IF(B237="","",IF(S237&lt;&gt;"",S237,Settings!$B$4)-B237)</f>
        <v/>
      </c>
      <c r="Z237" s="41">
        <f>IF(B237="","",IF(S237&lt;&gt;"",IF(S237&gt;R237,"Closed late","Closed on time"),IF(Settings!$B$4&gt;R237,"Open: overdue","Open")))</f>
        <v/>
      </c>
      <c r="AA237" s="41">
        <f>IF(B237="","",IF(NETWORKDAYS(B237,C237)-1&gt;Settings!$B$5,"Logged late",IF(AND(L237="Escalated",M237=""),"Escalate to Compliance",IF(AND(L237="Escalated",N237=""),"Notify Sponsor Bank",IF(AND(L237="Escalated",N237&lt;&gt;"",NETWORKDAYS(B237,N237)-1&gt;Settings!$B$10),"Sponsor Bank notified late",IF(AND(K237&lt;&gt;"",K237&lt;&gt;"None",Q237=""),"Enter the legal deadline",IF(AND(S237&lt;&gt;"",OR(T237="",V237="")),"Record outcome and root cause",IF(AND(P237="",S237="",Settings!$B$4&gt;O237),"Acknowledgment overdue",""))))))))</f>
        <v/>
      </c>
    </row>
    <row r="238" ht="15.75" customHeight="1" s="31">
      <c r="A238" s="44" t="n"/>
      <c r="B238" s="45" t="n"/>
      <c r="C238" s="45" t="n"/>
      <c r="D238" s="44" t="n"/>
      <c r="E238" s="44" t="n"/>
      <c r="F238" s="44" t="n"/>
      <c r="G238" s="44" t="n"/>
      <c r="H238" s="44" t="n"/>
      <c r="I238" s="44" t="n"/>
      <c r="J238" s="44" t="n"/>
      <c r="K238" s="44" t="n"/>
      <c r="L238" s="41">
        <f>IF(B238="","",IF(OR(COUNTIF(Settings!$E$4:$E$9,D238)&gt;0,I238="Yes",J238="Yes",K238="Fair lending allegation"),"Escalated","Standard"))</f>
        <v/>
      </c>
      <c r="M238" s="45" t="n"/>
      <c r="N238" s="45" t="n"/>
      <c r="O238" s="42">
        <f>IF(B238="","",WORKDAY(B238,Settings!$B$7))</f>
        <v/>
      </c>
      <c r="P238" s="45" t="n"/>
      <c r="Q238" s="45" t="n"/>
      <c r="R238" s="42">
        <f>IF(B238="","",IF(Q238&lt;&gt;"",MIN(Q238,IF(L238="Escalated",B238+Settings!$B$9,WORKDAY(B238,Settings!$B$8))),IF(L238="Escalated",B238+Settings!$B$9,WORKDAY(B238,Settings!$B$8))))</f>
        <v/>
      </c>
      <c r="S238" s="45" t="n"/>
      <c r="T238" s="44" t="n"/>
      <c r="U238" s="46" t="n"/>
      <c r="V238" s="44" t="n"/>
      <c r="W238" s="44" t="n"/>
      <c r="X238" s="44" t="n"/>
      <c r="Y238" s="41">
        <f>IF(B238="","",IF(S238&lt;&gt;"",S238,Settings!$B$4)-B238)</f>
        <v/>
      </c>
      <c r="Z238" s="41">
        <f>IF(B238="","",IF(S238&lt;&gt;"",IF(S238&gt;R238,"Closed late","Closed on time"),IF(Settings!$B$4&gt;R238,"Open: overdue","Open")))</f>
        <v/>
      </c>
      <c r="AA238" s="41">
        <f>IF(B238="","",IF(NETWORKDAYS(B238,C238)-1&gt;Settings!$B$5,"Logged late",IF(AND(L238="Escalated",M238=""),"Escalate to Compliance",IF(AND(L238="Escalated",N238=""),"Notify Sponsor Bank",IF(AND(L238="Escalated",N238&lt;&gt;"",NETWORKDAYS(B238,N238)-1&gt;Settings!$B$10),"Sponsor Bank notified late",IF(AND(K238&lt;&gt;"",K238&lt;&gt;"None",Q238=""),"Enter the legal deadline",IF(AND(S238&lt;&gt;"",OR(T238="",V238="")),"Record outcome and root cause",IF(AND(P238="",S238="",Settings!$B$4&gt;O238),"Acknowledgment overdue",""))))))))</f>
        <v/>
      </c>
    </row>
    <row r="239" ht="15.75" customHeight="1" s="31">
      <c r="A239" s="44" t="n"/>
      <c r="B239" s="45" t="n"/>
      <c r="C239" s="45" t="n"/>
      <c r="D239" s="44" t="n"/>
      <c r="E239" s="44" t="n"/>
      <c r="F239" s="44" t="n"/>
      <c r="G239" s="44" t="n"/>
      <c r="H239" s="44" t="n"/>
      <c r="I239" s="44" t="n"/>
      <c r="J239" s="44" t="n"/>
      <c r="K239" s="44" t="n"/>
      <c r="L239" s="41">
        <f>IF(B239="","",IF(OR(COUNTIF(Settings!$E$4:$E$9,D239)&gt;0,I239="Yes",J239="Yes",K239="Fair lending allegation"),"Escalated","Standard"))</f>
        <v/>
      </c>
      <c r="M239" s="45" t="n"/>
      <c r="N239" s="45" t="n"/>
      <c r="O239" s="42">
        <f>IF(B239="","",WORKDAY(B239,Settings!$B$7))</f>
        <v/>
      </c>
      <c r="P239" s="45" t="n"/>
      <c r="Q239" s="45" t="n"/>
      <c r="R239" s="42">
        <f>IF(B239="","",IF(Q239&lt;&gt;"",MIN(Q239,IF(L239="Escalated",B239+Settings!$B$9,WORKDAY(B239,Settings!$B$8))),IF(L239="Escalated",B239+Settings!$B$9,WORKDAY(B239,Settings!$B$8))))</f>
        <v/>
      </c>
      <c r="S239" s="45" t="n"/>
      <c r="T239" s="44" t="n"/>
      <c r="U239" s="46" t="n"/>
      <c r="V239" s="44" t="n"/>
      <c r="W239" s="44" t="n"/>
      <c r="X239" s="44" t="n"/>
      <c r="Y239" s="41">
        <f>IF(B239="","",IF(S239&lt;&gt;"",S239,Settings!$B$4)-B239)</f>
        <v/>
      </c>
      <c r="Z239" s="41">
        <f>IF(B239="","",IF(S239&lt;&gt;"",IF(S239&gt;R239,"Closed late","Closed on time"),IF(Settings!$B$4&gt;R239,"Open: overdue","Open")))</f>
        <v/>
      </c>
      <c r="AA239" s="41">
        <f>IF(B239="","",IF(NETWORKDAYS(B239,C239)-1&gt;Settings!$B$5,"Logged late",IF(AND(L239="Escalated",M239=""),"Escalate to Compliance",IF(AND(L239="Escalated",N239=""),"Notify Sponsor Bank",IF(AND(L239="Escalated",N239&lt;&gt;"",NETWORKDAYS(B239,N239)-1&gt;Settings!$B$10),"Sponsor Bank notified late",IF(AND(K239&lt;&gt;"",K239&lt;&gt;"None",Q239=""),"Enter the legal deadline",IF(AND(S239&lt;&gt;"",OR(T239="",V239="")),"Record outcome and root cause",IF(AND(P239="",S239="",Settings!$B$4&gt;O239),"Acknowledgment overdue",""))))))))</f>
        <v/>
      </c>
    </row>
    <row r="240" ht="15.75" customHeight="1" s="31">
      <c r="A240" s="44" t="n"/>
      <c r="B240" s="45" t="n"/>
      <c r="C240" s="45" t="n"/>
      <c r="D240" s="44" t="n"/>
      <c r="E240" s="44" t="n"/>
      <c r="F240" s="44" t="n"/>
      <c r="G240" s="44" t="n"/>
      <c r="H240" s="44" t="n"/>
      <c r="I240" s="44" t="n"/>
      <c r="J240" s="44" t="n"/>
      <c r="K240" s="44" t="n"/>
      <c r="L240" s="41">
        <f>IF(B240="","",IF(OR(COUNTIF(Settings!$E$4:$E$9,D240)&gt;0,I240="Yes",J240="Yes",K240="Fair lending allegation"),"Escalated","Standard"))</f>
        <v/>
      </c>
      <c r="M240" s="45" t="n"/>
      <c r="N240" s="45" t="n"/>
      <c r="O240" s="42">
        <f>IF(B240="","",WORKDAY(B240,Settings!$B$7))</f>
        <v/>
      </c>
      <c r="P240" s="45" t="n"/>
      <c r="Q240" s="45" t="n"/>
      <c r="R240" s="42">
        <f>IF(B240="","",IF(Q240&lt;&gt;"",MIN(Q240,IF(L240="Escalated",B240+Settings!$B$9,WORKDAY(B240,Settings!$B$8))),IF(L240="Escalated",B240+Settings!$B$9,WORKDAY(B240,Settings!$B$8))))</f>
        <v/>
      </c>
      <c r="S240" s="45" t="n"/>
      <c r="T240" s="44" t="n"/>
      <c r="U240" s="46" t="n"/>
      <c r="V240" s="44" t="n"/>
      <c r="W240" s="44" t="n"/>
      <c r="X240" s="44" t="n"/>
      <c r="Y240" s="41">
        <f>IF(B240="","",IF(S240&lt;&gt;"",S240,Settings!$B$4)-B240)</f>
        <v/>
      </c>
      <c r="Z240" s="41">
        <f>IF(B240="","",IF(S240&lt;&gt;"",IF(S240&gt;R240,"Closed late","Closed on time"),IF(Settings!$B$4&gt;R240,"Open: overdue","Open")))</f>
        <v/>
      </c>
      <c r="AA240" s="41">
        <f>IF(B240="","",IF(NETWORKDAYS(B240,C240)-1&gt;Settings!$B$5,"Logged late",IF(AND(L240="Escalated",M240=""),"Escalate to Compliance",IF(AND(L240="Escalated",N240=""),"Notify Sponsor Bank",IF(AND(L240="Escalated",N240&lt;&gt;"",NETWORKDAYS(B240,N240)-1&gt;Settings!$B$10),"Sponsor Bank notified late",IF(AND(K240&lt;&gt;"",K240&lt;&gt;"None",Q240=""),"Enter the legal deadline",IF(AND(S240&lt;&gt;"",OR(T240="",V240="")),"Record outcome and root cause",IF(AND(P240="",S240="",Settings!$B$4&gt;O240),"Acknowledgment overdue",""))))))))</f>
        <v/>
      </c>
    </row>
    <row r="241" ht="15.75" customHeight="1" s="31">
      <c r="A241" s="44" t="n"/>
      <c r="B241" s="45" t="n"/>
      <c r="C241" s="45" t="n"/>
      <c r="D241" s="44" t="n"/>
      <c r="E241" s="44" t="n"/>
      <c r="F241" s="44" t="n"/>
      <c r="G241" s="44" t="n"/>
      <c r="H241" s="44" t="n"/>
      <c r="I241" s="44" t="n"/>
      <c r="J241" s="44" t="n"/>
      <c r="K241" s="44" t="n"/>
      <c r="L241" s="41">
        <f>IF(B241="","",IF(OR(COUNTIF(Settings!$E$4:$E$9,D241)&gt;0,I241="Yes",J241="Yes",K241="Fair lending allegation"),"Escalated","Standard"))</f>
        <v/>
      </c>
      <c r="M241" s="45" t="n"/>
      <c r="N241" s="45" t="n"/>
      <c r="O241" s="42">
        <f>IF(B241="","",WORKDAY(B241,Settings!$B$7))</f>
        <v/>
      </c>
      <c r="P241" s="45" t="n"/>
      <c r="Q241" s="45" t="n"/>
      <c r="R241" s="42">
        <f>IF(B241="","",IF(Q241&lt;&gt;"",MIN(Q241,IF(L241="Escalated",B241+Settings!$B$9,WORKDAY(B241,Settings!$B$8))),IF(L241="Escalated",B241+Settings!$B$9,WORKDAY(B241,Settings!$B$8))))</f>
        <v/>
      </c>
      <c r="S241" s="45" t="n"/>
      <c r="T241" s="44" t="n"/>
      <c r="U241" s="46" t="n"/>
      <c r="V241" s="44" t="n"/>
      <c r="W241" s="44" t="n"/>
      <c r="X241" s="44" t="n"/>
      <c r="Y241" s="41">
        <f>IF(B241="","",IF(S241&lt;&gt;"",S241,Settings!$B$4)-B241)</f>
        <v/>
      </c>
      <c r="Z241" s="41">
        <f>IF(B241="","",IF(S241&lt;&gt;"",IF(S241&gt;R241,"Closed late","Closed on time"),IF(Settings!$B$4&gt;R241,"Open: overdue","Open")))</f>
        <v/>
      </c>
      <c r="AA241" s="41">
        <f>IF(B241="","",IF(NETWORKDAYS(B241,C241)-1&gt;Settings!$B$5,"Logged late",IF(AND(L241="Escalated",M241=""),"Escalate to Compliance",IF(AND(L241="Escalated",N241=""),"Notify Sponsor Bank",IF(AND(L241="Escalated",N241&lt;&gt;"",NETWORKDAYS(B241,N241)-1&gt;Settings!$B$10),"Sponsor Bank notified late",IF(AND(K241&lt;&gt;"",K241&lt;&gt;"None",Q241=""),"Enter the legal deadline",IF(AND(S241&lt;&gt;"",OR(T241="",V241="")),"Record outcome and root cause",IF(AND(P241="",S241="",Settings!$B$4&gt;O241),"Acknowledgment overdue",""))))))))</f>
        <v/>
      </c>
    </row>
    <row r="242" ht="15.75" customHeight="1" s="31">
      <c r="A242" s="44" t="n"/>
      <c r="B242" s="45" t="n"/>
      <c r="C242" s="45" t="n"/>
      <c r="D242" s="44" t="n"/>
      <c r="E242" s="44" t="n"/>
      <c r="F242" s="44" t="n"/>
      <c r="G242" s="44" t="n"/>
      <c r="H242" s="44" t="n"/>
      <c r="I242" s="44" t="n"/>
      <c r="J242" s="44" t="n"/>
      <c r="K242" s="44" t="n"/>
      <c r="L242" s="41">
        <f>IF(B242="","",IF(OR(COUNTIF(Settings!$E$4:$E$9,D242)&gt;0,I242="Yes",J242="Yes",K242="Fair lending allegation"),"Escalated","Standard"))</f>
        <v/>
      </c>
      <c r="M242" s="45" t="n"/>
      <c r="N242" s="45" t="n"/>
      <c r="O242" s="42">
        <f>IF(B242="","",WORKDAY(B242,Settings!$B$7))</f>
        <v/>
      </c>
      <c r="P242" s="45" t="n"/>
      <c r="Q242" s="45" t="n"/>
      <c r="R242" s="42">
        <f>IF(B242="","",IF(Q242&lt;&gt;"",MIN(Q242,IF(L242="Escalated",B242+Settings!$B$9,WORKDAY(B242,Settings!$B$8))),IF(L242="Escalated",B242+Settings!$B$9,WORKDAY(B242,Settings!$B$8))))</f>
        <v/>
      </c>
      <c r="S242" s="45" t="n"/>
      <c r="T242" s="44" t="n"/>
      <c r="U242" s="46" t="n"/>
      <c r="V242" s="44" t="n"/>
      <c r="W242" s="44" t="n"/>
      <c r="X242" s="44" t="n"/>
      <c r="Y242" s="41">
        <f>IF(B242="","",IF(S242&lt;&gt;"",S242,Settings!$B$4)-B242)</f>
        <v/>
      </c>
      <c r="Z242" s="41">
        <f>IF(B242="","",IF(S242&lt;&gt;"",IF(S242&gt;R242,"Closed late","Closed on time"),IF(Settings!$B$4&gt;R242,"Open: overdue","Open")))</f>
        <v/>
      </c>
      <c r="AA242" s="41">
        <f>IF(B242="","",IF(NETWORKDAYS(B242,C242)-1&gt;Settings!$B$5,"Logged late",IF(AND(L242="Escalated",M242=""),"Escalate to Compliance",IF(AND(L242="Escalated",N242=""),"Notify Sponsor Bank",IF(AND(L242="Escalated",N242&lt;&gt;"",NETWORKDAYS(B242,N242)-1&gt;Settings!$B$10),"Sponsor Bank notified late",IF(AND(K242&lt;&gt;"",K242&lt;&gt;"None",Q242=""),"Enter the legal deadline",IF(AND(S242&lt;&gt;"",OR(T242="",V242="")),"Record outcome and root cause",IF(AND(P242="",S242="",Settings!$B$4&gt;O242),"Acknowledgment overdue",""))))))))</f>
        <v/>
      </c>
    </row>
    <row r="243" ht="15.75" customHeight="1" s="31">
      <c r="A243" s="44" t="n"/>
      <c r="B243" s="45" t="n"/>
      <c r="C243" s="45" t="n"/>
      <c r="D243" s="44" t="n"/>
      <c r="E243" s="44" t="n"/>
      <c r="F243" s="44" t="n"/>
      <c r="G243" s="44" t="n"/>
      <c r="H243" s="44" t="n"/>
      <c r="I243" s="44" t="n"/>
      <c r="J243" s="44" t="n"/>
      <c r="K243" s="44" t="n"/>
      <c r="L243" s="41">
        <f>IF(B243="","",IF(OR(COUNTIF(Settings!$E$4:$E$9,D243)&gt;0,I243="Yes",J243="Yes",K243="Fair lending allegation"),"Escalated","Standard"))</f>
        <v/>
      </c>
      <c r="M243" s="45" t="n"/>
      <c r="N243" s="45" t="n"/>
      <c r="O243" s="42">
        <f>IF(B243="","",WORKDAY(B243,Settings!$B$7))</f>
        <v/>
      </c>
      <c r="P243" s="45" t="n"/>
      <c r="Q243" s="45" t="n"/>
      <c r="R243" s="42">
        <f>IF(B243="","",IF(Q243&lt;&gt;"",MIN(Q243,IF(L243="Escalated",B243+Settings!$B$9,WORKDAY(B243,Settings!$B$8))),IF(L243="Escalated",B243+Settings!$B$9,WORKDAY(B243,Settings!$B$8))))</f>
        <v/>
      </c>
      <c r="S243" s="45" t="n"/>
      <c r="T243" s="44" t="n"/>
      <c r="U243" s="46" t="n"/>
      <c r="V243" s="44" t="n"/>
      <c r="W243" s="44" t="n"/>
      <c r="X243" s="44" t="n"/>
      <c r="Y243" s="41">
        <f>IF(B243="","",IF(S243&lt;&gt;"",S243,Settings!$B$4)-B243)</f>
        <v/>
      </c>
      <c r="Z243" s="41">
        <f>IF(B243="","",IF(S243&lt;&gt;"",IF(S243&gt;R243,"Closed late","Closed on time"),IF(Settings!$B$4&gt;R243,"Open: overdue","Open")))</f>
        <v/>
      </c>
      <c r="AA243" s="41">
        <f>IF(B243="","",IF(NETWORKDAYS(B243,C243)-1&gt;Settings!$B$5,"Logged late",IF(AND(L243="Escalated",M243=""),"Escalate to Compliance",IF(AND(L243="Escalated",N243=""),"Notify Sponsor Bank",IF(AND(L243="Escalated",N243&lt;&gt;"",NETWORKDAYS(B243,N243)-1&gt;Settings!$B$10),"Sponsor Bank notified late",IF(AND(K243&lt;&gt;"",K243&lt;&gt;"None",Q243=""),"Enter the legal deadline",IF(AND(S243&lt;&gt;"",OR(T243="",V243="")),"Record outcome and root cause",IF(AND(P243="",S243="",Settings!$B$4&gt;O243),"Acknowledgment overdue",""))))))))</f>
        <v/>
      </c>
    </row>
    <row r="244" ht="15.75" customHeight="1" s="31">
      <c r="A244" s="44" t="n"/>
      <c r="B244" s="45" t="n"/>
      <c r="C244" s="45" t="n"/>
      <c r="D244" s="44" t="n"/>
      <c r="E244" s="44" t="n"/>
      <c r="F244" s="44" t="n"/>
      <c r="G244" s="44" t="n"/>
      <c r="H244" s="44" t="n"/>
      <c r="I244" s="44" t="n"/>
      <c r="J244" s="44" t="n"/>
      <c r="K244" s="44" t="n"/>
      <c r="L244" s="41">
        <f>IF(B244="","",IF(OR(COUNTIF(Settings!$E$4:$E$9,D244)&gt;0,I244="Yes",J244="Yes",K244="Fair lending allegation"),"Escalated","Standard"))</f>
        <v/>
      </c>
      <c r="M244" s="45" t="n"/>
      <c r="N244" s="45" t="n"/>
      <c r="O244" s="42">
        <f>IF(B244="","",WORKDAY(B244,Settings!$B$7))</f>
        <v/>
      </c>
      <c r="P244" s="45" t="n"/>
      <c r="Q244" s="45" t="n"/>
      <c r="R244" s="42">
        <f>IF(B244="","",IF(Q244&lt;&gt;"",MIN(Q244,IF(L244="Escalated",B244+Settings!$B$9,WORKDAY(B244,Settings!$B$8))),IF(L244="Escalated",B244+Settings!$B$9,WORKDAY(B244,Settings!$B$8))))</f>
        <v/>
      </c>
      <c r="S244" s="45" t="n"/>
      <c r="T244" s="44" t="n"/>
      <c r="U244" s="46" t="n"/>
      <c r="V244" s="44" t="n"/>
      <c r="W244" s="44" t="n"/>
      <c r="X244" s="44" t="n"/>
      <c r="Y244" s="41">
        <f>IF(B244="","",IF(S244&lt;&gt;"",S244,Settings!$B$4)-B244)</f>
        <v/>
      </c>
      <c r="Z244" s="41">
        <f>IF(B244="","",IF(S244&lt;&gt;"",IF(S244&gt;R244,"Closed late","Closed on time"),IF(Settings!$B$4&gt;R244,"Open: overdue","Open")))</f>
        <v/>
      </c>
      <c r="AA244" s="41">
        <f>IF(B244="","",IF(NETWORKDAYS(B244,C244)-1&gt;Settings!$B$5,"Logged late",IF(AND(L244="Escalated",M244=""),"Escalate to Compliance",IF(AND(L244="Escalated",N244=""),"Notify Sponsor Bank",IF(AND(L244="Escalated",N244&lt;&gt;"",NETWORKDAYS(B244,N244)-1&gt;Settings!$B$10),"Sponsor Bank notified late",IF(AND(K244&lt;&gt;"",K244&lt;&gt;"None",Q244=""),"Enter the legal deadline",IF(AND(S244&lt;&gt;"",OR(T244="",V244="")),"Record outcome and root cause",IF(AND(P244="",S244="",Settings!$B$4&gt;O244),"Acknowledgment overdue",""))))))))</f>
        <v/>
      </c>
    </row>
    <row r="245" ht="15.75" customHeight="1" s="31">
      <c r="A245" s="44" t="n"/>
      <c r="B245" s="45" t="n"/>
      <c r="C245" s="45" t="n"/>
      <c r="D245" s="44" t="n"/>
      <c r="E245" s="44" t="n"/>
      <c r="F245" s="44" t="n"/>
      <c r="G245" s="44" t="n"/>
      <c r="H245" s="44" t="n"/>
      <c r="I245" s="44" t="n"/>
      <c r="J245" s="44" t="n"/>
      <c r="K245" s="44" t="n"/>
      <c r="L245" s="41">
        <f>IF(B245="","",IF(OR(COUNTIF(Settings!$E$4:$E$9,D245)&gt;0,I245="Yes",J245="Yes",K245="Fair lending allegation"),"Escalated","Standard"))</f>
        <v/>
      </c>
      <c r="M245" s="45" t="n"/>
      <c r="N245" s="45" t="n"/>
      <c r="O245" s="42">
        <f>IF(B245="","",WORKDAY(B245,Settings!$B$7))</f>
        <v/>
      </c>
      <c r="P245" s="45" t="n"/>
      <c r="Q245" s="45" t="n"/>
      <c r="R245" s="42">
        <f>IF(B245="","",IF(Q245&lt;&gt;"",MIN(Q245,IF(L245="Escalated",B245+Settings!$B$9,WORKDAY(B245,Settings!$B$8))),IF(L245="Escalated",B245+Settings!$B$9,WORKDAY(B245,Settings!$B$8))))</f>
        <v/>
      </c>
      <c r="S245" s="45" t="n"/>
      <c r="T245" s="44" t="n"/>
      <c r="U245" s="46" t="n"/>
      <c r="V245" s="44" t="n"/>
      <c r="W245" s="44" t="n"/>
      <c r="X245" s="44" t="n"/>
      <c r="Y245" s="41">
        <f>IF(B245="","",IF(S245&lt;&gt;"",S245,Settings!$B$4)-B245)</f>
        <v/>
      </c>
      <c r="Z245" s="41">
        <f>IF(B245="","",IF(S245&lt;&gt;"",IF(S245&gt;R245,"Closed late","Closed on time"),IF(Settings!$B$4&gt;R245,"Open: overdue","Open")))</f>
        <v/>
      </c>
      <c r="AA245" s="41">
        <f>IF(B245="","",IF(NETWORKDAYS(B245,C245)-1&gt;Settings!$B$5,"Logged late",IF(AND(L245="Escalated",M245=""),"Escalate to Compliance",IF(AND(L245="Escalated",N245=""),"Notify Sponsor Bank",IF(AND(L245="Escalated",N245&lt;&gt;"",NETWORKDAYS(B245,N245)-1&gt;Settings!$B$10),"Sponsor Bank notified late",IF(AND(K245&lt;&gt;"",K245&lt;&gt;"None",Q245=""),"Enter the legal deadline",IF(AND(S245&lt;&gt;"",OR(T245="",V245="")),"Record outcome and root cause",IF(AND(P245="",S245="",Settings!$B$4&gt;O245),"Acknowledgment overdue",""))))))))</f>
        <v/>
      </c>
    </row>
    <row r="246" ht="15.75" customHeight="1" s="31">
      <c r="A246" s="44" t="n"/>
      <c r="B246" s="45" t="n"/>
      <c r="C246" s="45" t="n"/>
      <c r="D246" s="44" t="n"/>
      <c r="E246" s="44" t="n"/>
      <c r="F246" s="44" t="n"/>
      <c r="G246" s="44" t="n"/>
      <c r="H246" s="44" t="n"/>
      <c r="I246" s="44" t="n"/>
      <c r="J246" s="44" t="n"/>
      <c r="K246" s="44" t="n"/>
      <c r="L246" s="41">
        <f>IF(B246="","",IF(OR(COUNTIF(Settings!$E$4:$E$9,D246)&gt;0,I246="Yes",J246="Yes",K246="Fair lending allegation"),"Escalated","Standard"))</f>
        <v/>
      </c>
      <c r="M246" s="45" t="n"/>
      <c r="N246" s="45" t="n"/>
      <c r="O246" s="42">
        <f>IF(B246="","",WORKDAY(B246,Settings!$B$7))</f>
        <v/>
      </c>
      <c r="P246" s="45" t="n"/>
      <c r="Q246" s="45" t="n"/>
      <c r="R246" s="42">
        <f>IF(B246="","",IF(Q246&lt;&gt;"",MIN(Q246,IF(L246="Escalated",B246+Settings!$B$9,WORKDAY(B246,Settings!$B$8))),IF(L246="Escalated",B246+Settings!$B$9,WORKDAY(B246,Settings!$B$8))))</f>
        <v/>
      </c>
      <c r="S246" s="45" t="n"/>
      <c r="T246" s="44" t="n"/>
      <c r="U246" s="46" t="n"/>
      <c r="V246" s="44" t="n"/>
      <c r="W246" s="44" t="n"/>
      <c r="X246" s="44" t="n"/>
      <c r="Y246" s="41">
        <f>IF(B246="","",IF(S246&lt;&gt;"",S246,Settings!$B$4)-B246)</f>
        <v/>
      </c>
      <c r="Z246" s="41">
        <f>IF(B246="","",IF(S246&lt;&gt;"",IF(S246&gt;R246,"Closed late","Closed on time"),IF(Settings!$B$4&gt;R246,"Open: overdue","Open")))</f>
        <v/>
      </c>
      <c r="AA246" s="41">
        <f>IF(B246="","",IF(NETWORKDAYS(B246,C246)-1&gt;Settings!$B$5,"Logged late",IF(AND(L246="Escalated",M246=""),"Escalate to Compliance",IF(AND(L246="Escalated",N246=""),"Notify Sponsor Bank",IF(AND(L246="Escalated",N246&lt;&gt;"",NETWORKDAYS(B246,N246)-1&gt;Settings!$B$10),"Sponsor Bank notified late",IF(AND(K246&lt;&gt;"",K246&lt;&gt;"None",Q246=""),"Enter the legal deadline",IF(AND(S246&lt;&gt;"",OR(T246="",V246="")),"Record outcome and root cause",IF(AND(P246="",S246="",Settings!$B$4&gt;O246),"Acknowledgment overdue",""))))))))</f>
        <v/>
      </c>
    </row>
    <row r="247" ht="15.75" customHeight="1" s="31">
      <c r="A247" s="44" t="n"/>
      <c r="B247" s="45" t="n"/>
      <c r="C247" s="45" t="n"/>
      <c r="D247" s="44" t="n"/>
      <c r="E247" s="44" t="n"/>
      <c r="F247" s="44" t="n"/>
      <c r="G247" s="44" t="n"/>
      <c r="H247" s="44" t="n"/>
      <c r="I247" s="44" t="n"/>
      <c r="J247" s="44" t="n"/>
      <c r="K247" s="44" t="n"/>
      <c r="L247" s="41">
        <f>IF(B247="","",IF(OR(COUNTIF(Settings!$E$4:$E$9,D247)&gt;0,I247="Yes",J247="Yes",K247="Fair lending allegation"),"Escalated","Standard"))</f>
        <v/>
      </c>
      <c r="M247" s="45" t="n"/>
      <c r="N247" s="45" t="n"/>
      <c r="O247" s="42">
        <f>IF(B247="","",WORKDAY(B247,Settings!$B$7))</f>
        <v/>
      </c>
      <c r="P247" s="45" t="n"/>
      <c r="Q247" s="45" t="n"/>
      <c r="R247" s="42">
        <f>IF(B247="","",IF(Q247&lt;&gt;"",MIN(Q247,IF(L247="Escalated",B247+Settings!$B$9,WORKDAY(B247,Settings!$B$8))),IF(L247="Escalated",B247+Settings!$B$9,WORKDAY(B247,Settings!$B$8))))</f>
        <v/>
      </c>
      <c r="S247" s="45" t="n"/>
      <c r="T247" s="44" t="n"/>
      <c r="U247" s="46" t="n"/>
      <c r="V247" s="44" t="n"/>
      <c r="W247" s="44" t="n"/>
      <c r="X247" s="44" t="n"/>
      <c r="Y247" s="41">
        <f>IF(B247="","",IF(S247&lt;&gt;"",S247,Settings!$B$4)-B247)</f>
        <v/>
      </c>
      <c r="Z247" s="41">
        <f>IF(B247="","",IF(S247&lt;&gt;"",IF(S247&gt;R247,"Closed late","Closed on time"),IF(Settings!$B$4&gt;R247,"Open: overdue","Open")))</f>
        <v/>
      </c>
      <c r="AA247" s="41">
        <f>IF(B247="","",IF(NETWORKDAYS(B247,C247)-1&gt;Settings!$B$5,"Logged late",IF(AND(L247="Escalated",M247=""),"Escalate to Compliance",IF(AND(L247="Escalated",N247=""),"Notify Sponsor Bank",IF(AND(L247="Escalated",N247&lt;&gt;"",NETWORKDAYS(B247,N247)-1&gt;Settings!$B$10),"Sponsor Bank notified late",IF(AND(K247&lt;&gt;"",K247&lt;&gt;"None",Q247=""),"Enter the legal deadline",IF(AND(S247&lt;&gt;"",OR(T247="",V247="")),"Record outcome and root cause",IF(AND(P247="",S247="",Settings!$B$4&gt;O247),"Acknowledgment overdue",""))))))))</f>
        <v/>
      </c>
    </row>
    <row r="248" ht="15.75" customHeight="1" s="31">
      <c r="A248" s="44" t="n"/>
      <c r="B248" s="45" t="n"/>
      <c r="C248" s="45" t="n"/>
      <c r="D248" s="44" t="n"/>
      <c r="E248" s="44" t="n"/>
      <c r="F248" s="44" t="n"/>
      <c r="G248" s="44" t="n"/>
      <c r="H248" s="44" t="n"/>
      <c r="I248" s="44" t="n"/>
      <c r="J248" s="44" t="n"/>
      <c r="K248" s="44" t="n"/>
      <c r="L248" s="41">
        <f>IF(B248="","",IF(OR(COUNTIF(Settings!$E$4:$E$9,D248)&gt;0,I248="Yes",J248="Yes",K248="Fair lending allegation"),"Escalated","Standard"))</f>
        <v/>
      </c>
      <c r="M248" s="45" t="n"/>
      <c r="N248" s="45" t="n"/>
      <c r="O248" s="42">
        <f>IF(B248="","",WORKDAY(B248,Settings!$B$7))</f>
        <v/>
      </c>
      <c r="P248" s="45" t="n"/>
      <c r="Q248" s="45" t="n"/>
      <c r="R248" s="42">
        <f>IF(B248="","",IF(Q248&lt;&gt;"",MIN(Q248,IF(L248="Escalated",B248+Settings!$B$9,WORKDAY(B248,Settings!$B$8))),IF(L248="Escalated",B248+Settings!$B$9,WORKDAY(B248,Settings!$B$8))))</f>
        <v/>
      </c>
      <c r="S248" s="45" t="n"/>
      <c r="T248" s="44" t="n"/>
      <c r="U248" s="46" t="n"/>
      <c r="V248" s="44" t="n"/>
      <c r="W248" s="44" t="n"/>
      <c r="X248" s="44" t="n"/>
      <c r="Y248" s="41">
        <f>IF(B248="","",IF(S248&lt;&gt;"",S248,Settings!$B$4)-B248)</f>
        <v/>
      </c>
      <c r="Z248" s="41">
        <f>IF(B248="","",IF(S248&lt;&gt;"",IF(S248&gt;R248,"Closed late","Closed on time"),IF(Settings!$B$4&gt;R248,"Open: overdue","Open")))</f>
        <v/>
      </c>
      <c r="AA248" s="41">
        <f>IF(B248="","",IF(NETWORKDAYS(B248,C248)-1&gt;Settings!$B$5,"Logged late",IF(AND(L248="Escalated",M248=""),"Escalate to Compliance",IF(AND(L248="Escalated",N248=""),"Notify Sponsor Bank",IF(AND(L248="Escalated",N248&lt;&gt;"",NETWORKDAYS(B248,N248)-1&gt;Settings!$B$10),"Sponsor Bank notified late",IF(AND(K248&lt;&gt;"",K248&lt;&gt;"None",Q248=""),"Enter the legal deadline",IF(AND(S248&lt;&gt;"",OR(T248="",V248="")),"Record outcome and root cause",IF(AND(P248="",S248="",Settings!$B$4&gt;O248),"Acknowledgment overdue",""))))))))</f>
        <v/>
      </c>
    </row>
    <row r="249" ht="15.75" customHeight="1" s="31">
      <c r="A249" s="44" t="n"/>
      <c r="B249" s="45" t="n"/>
      <c r="C249" s="45" t="n"/>
      <c r="D249" s="44" t="n"/>
      <c r="E249" s="44" t="n"/>
      <c r="F249" s="44" t="n"/>
      <c r="G249" s="44" t="n"/>
      <c r="H249" s="44" t="n"/>
      <c r="I249" s="44" t="n"/>
      <c r="J249" s="44" t="n"/>
      <c r="K249" s="44" t="n"/>
      <c r="L249" s="41">
        <f>IF(B249="","",IF(OR(COUNTIF(Settings!$E$4:$E$9,D249)&gt;0,I249="Yes",J249="Yes",K249="Fair lending allegation"),"Escalated","Standard"))</f>
        <v/>
      </c>
      <c r="M249" s="45" t="n"/>
      <c r="N249" s="45" t="n"/>
      <c r="O249" s="42">
        <f>IF(B249="","",WORKDAY(B249,Settings!$B$7))</f>
        <v/>
      </c>
      <c r="P249" s="45" t="n"/>
      <c r="Q249" s="45" t="n"/>
      <c r="R249" s="42">
        <f>IF(B249="","",IF(Q249&lt;&gt;"",MIN(Q249,IF(L249="Escalated",B249+Settings!$B$9,WORKDAY(B249,Settings!$B$8))),IF(L249="Escalated",B249+Settings!$B$9,WORKDAY(B249,Settings!$B$8))))</f>
        <v/>
      </c>
      <c r="S249" s="45" t="n"/>
      <c r="T249" s="44" t="n"/>
      <c r="U249" s="46" t="n"/>
      <c r="V249" s="44" t="n"/>
      <c r="W249" s="44" t="n"/>
      <c r="X249" s="44" t="n"/>
      <c r="Y249" s="41">
        <f>IF(B249="","",IF(S249&lt;&gt;"",S249,Settings!$B$4)-B249)</f>
        <v/>
      </c>
      <c r="Z249" s="41">
        <f>IF(B249="","",IF(S249&lt;&gt;"",IF(S249&gt;R249,"Closed late","Closed on time"),IF(Settings!$B$4&gt;R249,"Open: overdue","Open")))</f>
        <v/>
      </c>
      <c r="AA249" s="41">
        <f>IF(B249="","",IF(NETWORKDAYS(B249,C249)-1&gt;Settings!$B$5,"Logged late",IF(AND(L249="Escalated",M249=""),"Escalate to Compliance",IF(AND(L249="Escalated",N249=""),"Notify Sponsor Bank",IF(AND(L249="Escalated",N249&lt;&gt;"",NETWORKDAYS(B249,N249)-1&gt;Settings!$B$10),"Sponsor Bank notified late",IF(AND(K249&lt;&gt;"",K249&lt;&gt;"None",Q249=""),"Enter the legal deadline",IF(AND(S249&lt;&gt;"",OR(T249="",V249="")),"Record outcome and root cause",IF(AND(P249="",S249="",Settings!$B$4&gt;O249),"Acknowledgment overdue",""))))))))</f>
        <v/>
      </c>
    </row>
    <row r="250" ht="15.75" customHeight="1" s="31">
      <c r="A250" s="44" t="n"/>
      <c r="B250" s="45" t="n"/>
      <c r="C250" s="45" t="n"/>
      <c r="D250" s="44" t="n"/>
      <c r="E250" s="44" t="n"/>
      <c r="F250" s="44" t="n"/>
      <c r="G250" s="44" t="n"/>
      <c r="H250" s="44" t="n"/>
      <c r="I250" s="44" t="n"/>
      <c r="J250" s="44" t="n"/>
      <c r="K250" s="44" t="n"/>
      <c r="L250" s="41">
        <f>IF(B250="","",IF(OR(COUNTIF(Settings!$E$4:$E$9,D250)&gt;0,I250="Yes",J250="Yes",K250="Fair lending allegation"),"Escalated","Standard"))</f>
        <v/>
      </c>
      <c r="M250" s="45" t="n"/>
      <c r="N250" s="45" t="n"/>
      <c r="O250" s="42">
        <f>IF(B250="","",WORKDAY(B250,Settings!$B$7))</f>
        <v/>
      </c>
      <c r="P250" s="45" t="n"/>
      <c r="Q250" s="45" t="n"/>
      <c r="R250" s="42">
        <f>IF(B250="","",IF(Q250&lt;&gt;"",MIN(Q250,IF(L250="Escalated",B250+Settings!$B$9,WORKDAY(B250,Settings!$B$8))),IF(L250="Escalated",B250+Settings!$B$9,WORKDAY(B250,Settings!$B$8))))</f>
        <v/>
      </c>
      <c r="S250" s="45" t="n"/>
      <c r="T250" s="44" t="n"/>
      <c r="U250" s="46" t="n"/>
      <c r="V250" s="44" t="n"/>
      <c r="W250" s="44" t="n"/>
      <c r="X250" s="44" t="n"/>
      <c r="Y250" s="41">
        <f>IF(B250="","",IF(S250&lt;&gt;"",S250,Settings!$B$4)-B250)</f>
        <v/>
      </c>
      <c r="Z250" s="41">
        <f>IF(B250="","",IF(S250&lt;&gt;"",IF(S250&gt;R250,"Closed late","Closed on time"),IF(Settings!$B$4&gt;R250,"Open: overdue","Open")))</f>
        <v/>
      </c>
      <c r="AA250" s="41">
        <f>IF(B250="","",IF(NETWORKDAYS(B250,C250)-1&gt;Settings!$B$5,"Logged late",IF(AND(L250="Escalated",M250=""),"Escalate to Compliance",IF(AND(L250="Escalated",N250=""),"Notify Sponsor Bank",IF(AND(L250="Escalated",N250&lt;&gt;"",NETWORKDAYS(B250,N250)-1&gt;Settings!$B$10),"Sponsor Bank notified late",IF(AND(K250&lt;&gt;"",K250&lt;&gt;"None",Q250=""),"Enter the legal deadline",IF(AND(S250&lt;&gt;"",OR(T250="",V250="")),"Record outcome and root cause",IF(AND(P250="",S250="",Settings!$B$4&gt;O250),"Acknowledgment overdue",""))))))))</f>
        <v/>
      </c>
    </row>
    <row r="251" ht="15.75" customHeight="1" s="31">
      <c r="A251" s="44" t="n"/>
      <c r="B251" s="45" t="n"/>
      <c r="C251" s="45" t="n"/>
      <c r="D251" s="44" t="n"/>
      <c r="E251" s="44" t="n"/>
      <c r="F251" s="44" t="n"/>
      <c r="G251" s="44" t="n"/>
      <c r="H251" s="44" t="n"/>
      <c r="I251" s="44" t="n"/>
      <c r="J251" s="44" t="n"/>
      <c r="K251" s="44" t="n"/>
      <c r="L251" s="41">
        <f>IF(B251="","",IF(OR(COUNTIF(Settings!$E$4:$E$9,D251)&gt;0,I251="Yes",J251="Yes",K251="Fair lending allegation"),"Escalated","Standard"))</f>
        <v/>
      </c>
      <c r="M251" s="45" t="n"/>
      <c r="N251" s="45" t="n"/>
      <c r="O251" s="42">
        <f>IF(B251="","",WORKDAY(B251,Settings!$B$7))</f>
        <v/>
      </c>
      <c r="P251" s="45" t="n"/>
      <c r="Q251" s="45" t="n"/>
      <c r="R251" s="42">
        <f>IF(B251="","",IF(Q251&lt;&gt;"",MIN(Q251,IF(L251="Escalated",B251+Settings!$B$9,WORKDAY(B251,Settings!$B$8))),IF(L251="Escalated",B251+Settings!$B$9,WORKDAY(B251,Settings!$B$8))))</f>
        <v/>
      </c>
      <c r="S251" s="45" t="n"/>
      <c r="T251" s="44" t="n"/>
      <c r="U251" s="46" t="n"/>
      <c r="V251" s="44" t="n"/>
      <c r="W251" s="44" t="n"/>
      <c r="X251" s="44" t="n"/>
      <c r="Y251" s="41">
        <f>IF(B251="","",IF(S251&lt;&gt;"",S251,Settings!$B$4)-B251)</f>
        <v/>
      </c>
      <c r="Z251" s="41">
        <f>IF(B251="","",IF(S251&lt;&gt;"",IF(S251&gt;R251,"Closed late","Closed on time"),IF(Settings!$B$4&gt;R251,"Open: overdue","Open")))</f>
        <v/>
      </c>
      <c r="AA251" s="41">
        <f>IF(B251="","",IF(NETWORKDAYS(B251,C251)-1&gt;Settings!$B$5,"Logged late",IF(AND(L251="Escalated",M251=""),"Escalate to Compliance",IF(AND(L251="Escalated",N251=""),"Notify Sponsor Bank",IF(AND(L251="Escalated",N251&lt;&gt;"",NETWORKDAYS(B251,N251)-1&gt;Settings!$B$10),"Sponsor Bank notified late",IF(AND(K251&lt;&gt;"",K251&lt;&gt;"None",Q251=""),"Enter the legal deadline",IF(AND(S251&lt;&gt;"",OR(T251="",V251="")),"Record outcome and root cause",IF(AND(P251="",S251="",Settings!$B$4&gt;O251),"Acknowledgment overdue",""))))))))</f>
        <v/>
      </c>
    </row>
    <row r="252" ht="15.75" customHeight="1" s="31">
      <c r="A252" s="44" t="n"/>
      <c r="B252" s="45" t="n"/>
      <c r="C252" s="45" t="n"/>
      <c r="D252" s="44" t="n"/>
      <c r="E252" s="44" t="n"/>
      <c r="F252" s="44" t="n"/>
      <c r="G252" s="44" t="n"/>
      <c r="H252" s="44" t="n"/>
      <c r="I252" s="44" t="n"/>
      <c r="J252" s="44" t="n"/>
      <c r="K252" s="44" t="n"/>
      <c r="L252" s="41">
        <f>IF(B252="","",IF(OR(COUNTIF(Settings!$E$4:$E$9,D252)&gt;0,I252="Yes",J252="Yes",K252="Fair lending allegation"),"Escalated","Standard"))</f>
        <v/>
      </c>
      <c r="M252" s="45" t="n"/>
      <c r="N252" s="45" t="n"/>
      <c r="O252" s="42">
        <f>IF(B252="","",WORKDAY(B252,Settings!$B$7))</f>
        <v/>
      </c>
      <c r="P252" s="45" t="n"/>
      <c r="Q252" s="45" t="n"/>
      <c r="R252" s="42">
        <f>IF(B252="","",IF(Q252&lt;&gt;"",MIN(Q252,IF(L252="Escalated",B252+Settings!$B$9,WORKDAY(B252,Settings!$B$8))),IF(L252="Escalated",B252+Settings!$B$9,WORKDAY(B252,Settings!$B$8))))</f>
        <v/>
      </c>
      <c r="S252" s="45" t="n"/>
      <c r="T252" s="44" t="n"/>
      <c r="U252" s="46" t="n"/>
      <c r="V252" s="44" t="n"/>
      <c r="W252" s="44" t="n"/>
      <c r="X252" s="44" t="n"/>
      <c r="Y252" s="41">
        <f>IF(B252="","",IF(S252&lt;&gt;"",S252,Settings!$B$4)-B252)</f>
        <v/>
      </c>
      <c r="Z252" s="41">
        <f>IF(B252="","",IF(S252&lt;&gt;"",IF(S252&gt;R252,"Closed late","Closed on time"),IF(Settings!$B$4&gt;R252,"Open: overdue","Open")))</f>
        <v/>
      </c>
      <c r="AA252" s="41">
        <f>IF(B252="","",IF(NETWORKDAYS(B252,C252)-1&gt;Settings!$B$5,"Logged late",IF(AND(L252="Escalated",M252=""),"Escalate to Compliance",IF(AND(L252="Escalated",N252=""),"Notify Sponsor Bank",IF(AND(L252="Escalated",N252&lt;&gt;"",NETWORKDAYS(B252,N252)-1&gt;Settings!$B$10),"Sponsor Bank notified late",IF(AND(K252&lt;&gt;"",K252&lt;&gt;"None",Q252=""),"Enter the legal deadline",IF(AND(S252&lt;&gt;"",OR(T252="",V252="")),"Record outcome and root cause",IF(AND(P252="",S252="",Settings!$B$4&gt;O252),"Acknowledgment overdue",""))))))))</f>
        <v/>
      </c>
    </row>
    <row r="253" ht="15.75" customHeight="1" s="31">
      <c r="A253" s="44" t="n"/>
      <c r="B253" s="45" t="n"/>
      <c r="C253" s="45" t="n"/>
      <c r="D253" s="44" t="n"/>
      <c r="E253" s="44" t="n"/>
      <c r="F253" s="44" t="n"/>
      <c r="G253" s="44" t="n"/>
      <c r="H253" s="44" t="n"/>
      <c r="I253" s="44" t="n"/>
      <c r="J253" s="44" t="n"/>
      <c r="K253" s="44" t="n"/>
      <c r="L253" s="41">
        <f>IF(B253="","",IF(OR(COUNTIF(Settings!$E$4:$E$9,D253)&gt;0,I253="Yes",J253="Yes",K253="Fair lending allegation"),"Escalated","Standard"))</f>
        <v/>
      </c>
      <c r="M253" s="45" t="n"/>
      <c r="N253" s="45" t="n"/>
      <c r="O253" s="42">
        <f>IF(B253="","",WORKDAY(B253,Settings!$B$7))</f>
        <v/>
      </c>
      <c r="P253" s="45" t="n"/>
      <c r="Q253" s="45" t="n"/>
      <c r="R253" s="42">
        <f>IF(B253="","",IF(Q253&lt;&gt;"",MIN(Q253,IF(L253="Escalated",B253+Settings!$B$9,WORKDAY(B253,Settings!$B$8))),IF(L253="Escalated",B253+Settings!$B$9,WORKDAY(B253,Settings!$B$8))))</f>
        <v/>
      </c>
      <c r="S253" s="45" t="n"/>
      <c r="T253" s="44" t="n"/>
      <c r="U253" s="46" t="n"/>
      <c r="V253" s="44" t="n"/>
      <c r="W253" s="44" t="n"/>
      <c r="X253" s="44" t="n"/>
      <c r="Y253" s="41">
        <f>IF(B253="","",IF(S253&lt;&gt;"",S253,Settings!$B$4)-B253)</f>
        <v/>
      </c>
      <c r="Z253" s="41">
        <f>IF(B253="","",IF(S253&lt;&gt;"",IF(S253&gt;R253,"Closed late","Closed on time"),IF(Settings!$B$4&gt;R253,"Open: overdue","Open")))</f>
        <v/>
      </c>
      <c r="AA253" s="41">
        <f>IF(B253="","",IF(NETWORKDAYS(B253,C253)-1&gt;Settings!$B$5,"Logged late",IF(AND(L253="Escalated",M253=""),"Escalate to Compliance",IF(AND(L253="Escalated",N253=""),"Notify Sponsor Bank",IF(AND(L253="Escalated",N253&lt;&gt;"",NETWORKDAYS(B253,N253)-1&gt;Settings!$B$10),"Sponsor Bank notified late",IF(AND(K253&lt;&gt;"",K253&lt;&gt;"None",Q253=""),"Enter the legal deadline",IF(AND(S253&lt;&gt;"",OR(T253="",V253="")),"Record outcome and root cause",IF(AND(P253="",S253="",Settings!$B$4&gt;O253),"Acknowledgment overdue",""))))))))</f>
        <v/>
      </c>
    </row>
    <row r="254" ht="15.75" customHeight="1" s="31">
      <c r="A254" s="44" t="n"/>
      <c r="B254" s="45" t="n"/>
      <c r="C254" s="45" t="n"/>
      <c r="D254" s="44" t="n"/>
      <c r="E254" s="44" t="n"/>
      <c r="F254" s="44" t="n"/>
      <c r="G254" s="44" t="n"/>
      <c r="H254" s="44" t="n"/>
      <c r="I254" s="44" t="n"/>
      <c r="J254" s="44" t="n"/>
      <c r="K254" s="44" t="n"/>
      <c r="L254" s="41">
        <f>IF(B254="","",IF(OR(COUNTIF(Settings!$E$4:$E$9,D254)&gt;0,I254="Yes",J254="Yes",K254="Fair lending allegation"),"Escalated","Standard"))</f>
        <v/>
      </c>
      <c r="M254" s="45" t="n"/>
      <c r="N254" s="45" t="n"/>
      <c r="O254" s="42">
        <f>IF(B254="","",WORKDAY(B254,Settings!$B$7))</f>
        <v/>
      </c>
      <c r="P254" s="45" t="n"/>
      <c r="Q254" s="45" t="n"/>
      <c r="R254" s="42">
        <f>IF(B254="","",IF(Q254&lt;&gt;"",MIN(Q254,IF(L254="Escalated",B254+Settings!$B$9,WORKDAY(B254,Settings!$B$8))),IF(L254="Escalated",B254+Settings!$B$9,WORKDAY(B254,Settings!$B$8))))</f>
        <v/>
      </c>
      <c r="S254" s="45" t="n"/>
      <c r="T254" s="44" t="n"/>
      <c r="U254" s="46" t="n"/>
      <c r="V254" s="44" t="n"/>
      <c r="W254" s="44" t="n"/>
      <c r="X254" s="44" t="n"/>
      <c r="Y254" s="41">
        <f>IF(B254="","",IF(S254&lt;&gt;"",S254,Settings!$B$4)-B254)</f>
        <v/>
      </c>
      <c r="Z254" s="41">
        <f>IF(B254="","",IF(S254&lt;&gt;"",IF(S254&gt;R254,"Closed late","Closed on time"),IF(Settings!$B$4&gt;R254,"Open: overdue","Open")))</f>
        <v/>
      </c>
      <c r="AA254" s="41">
        <f>IF(B254="","",IF(NETWORKDAYS(B254,C254)-1&gt;Settings!$B$5,"Logged late",IF(AND(L254="Escalated",M254=""),"Escalate to Compliance",IF(AND(L254="Escalated",N254=""),"Notify Sponsor Bank",IF(AND(L254="Escalated",N254&lt;&gt;"",NETWORKDAYS(B254,N254)-1&gt;Settings!$B$10),"Sponsor Bank notified late",IF(AND(K254&lt;&gt;"",K254&lt;&gt;"None",Q254=""),"Enter the legal deadline",IF(AND(S254&lt;&gt;"",OR(T254="",V254="")),"Record outcome and root cause",IF(AND(P254="",S254="",Settings!$B$4&gt;O254),"Acknowledgment overdue",""))))))))</f>
        <v/>
      </c>
    </row>
    <row r="255" ht="15.75" customHeight="1" s="31">
      <c r="A255" s="44" t="n"/>
      <c r="B255" s="45" t="n"/>
      <c r="C255" s="45" t="n"/>
      <c r="D255" s="44" t="n"/>
      <c r="E255" s="44" t="n"/>
      <c r="F255" s="44" t="n"/>
      <c r="G255" s="44" t="n"/>
      <c r="H255" s="44" t="n"/>
      <c r="I255" s="44" t="n"/>
      <c r="J255" s="44" t="n"/>
      <c r="K255" s="44" t="n"/>
      <c r="L255" s="41">
        <f>IF(B255="","",IF(OR(COUNTIF(Settings!$E$4:$E$9,D255)&gt;0,I255="Yes",J255="Yes",K255="Fair lending allegation"),"Escalated","Standard"))</f>
        <v/>
      </c>
      <c r="M255" s="45" t="n"/>
      <c r="N255" s="45" t="n"/>
      <c r="O255" s="42">
        <f>IF(B255="","",WORKDAY(B255,Settings!$B$7))</f>
        <v/>
      </c>
      <c r="P255" s="45" t="n"/>
      <c r="Q255" s="45" t="n"/>
      <c r="R255" s="42">
        <f>IF(B255="","",IF(Q255&lt;&gt;"",MIN(Q255,IF(L255="Escalated",B255+Settings!$B$9,WORKDAY(B255,Settings!$B$8))),IF(L255="Escalated",B255+Settings!$B$9,WORKDAY(B255,Settings!$B$8))))</f>
        <v/>
      </c>
      <c r="S255" s="45" t="n"/>
      <c r="T255" s="44" t="n"/>
      <c r="U255" s="46" t="n"/>
      <c r="V255" s="44" t="n"/>
      <c r="W255" s="44" t="n"/>
      <c r="X255" s="44" t="n"/>
      <c r="Y255" s="41">
        <f>IF(B255="","",IF(S255&lt;&gt;"",S255,Settings!$B$4)-B255)</f>
        <v/>
      </c>
      <c r="Z255" s="41">
        <f>IF(B255="","",IF(S255&lt;&gt;"",IF(S255&gt;R255,"Closed late","Closed on time"),IF(Settings!$B$4&gt;R255,"Open: overdue","Open")))</f>
        <v/>
      </c>
      <c r="AA255" s="41">
        <f>IF(B255="","",IF(NETWORKDAYS(B255,C255)-1&gt;Settings!$B$5,"Logged late",IF(AND(L255="Escalated",M255=""),"Escalate to Compliance",IF(AND(L255="Escalated",N255=""),"Notify Sponsor Bank",IF(AND(L255="Escalated",N255&lt;&gt;"",NETWORKDAYS(B255,N255)-1&gt;Settings!$B$10),"Sponsor Bank notified late",IF(AND(K255&lt;&gt;"",K255&lt;&gt;"None",Q255=""),"Enter the legal deadline",IF(AND(S255&lt;&gt;"",OR(T255="",V255="")),"Record outcome and root cause",IF(AND(P255="",S255="",Settings!$B$4&gt;O255),"Acknowledgment overdue",""))))))))</f>
        <v/>
      </c>
    </row>
    <row r="256" ht="15.75" customHeight="1" s="31">
      <c r="A256" s="44" t="n"/>
      <c r="B256" s="45" t="n"/>
      <c r="C256" s="45" t="n"/>
      <c r="D256" s="44" t="n"/>
      <c r="E256" s="44" t="n"/>
      <c r="F256" s="44" t="n"/>
      <c r="G256" s="44" t="n"/>
      <c r="H256" s="44" t="n"/>
      <c r="I256" s="44" t="n"/>
      <c r="J256" s="44" t="n"/>
      <c r="K256" s="44" t="n"/>
      <c r="L256" s="41">
        <f>IF(B256="","",IF(OR(COUNTIF(Settings!$E$4:$E$9,D256)&gt;0,I256="Yes",J256="Yes",K256="Fair lending allegation"),"Escalated","Standard"))</f>
        <v/>
      </c>
      <c r="M256" s="45" t="n"/>
      <c r="N256" s="45" t="n"/>
      <c r="O256" s="42">
        <f>IF(B256="","",WORKDAY(B256,Settings!$B$7))</f>
        <v/>
      </c>
      <c r="P256" s="45" t="n"/>
      <c r="Q256" s="45" t="n"/>
      <c r="R256" s="42">
        <f>IF(B256="","",IF(Q256&lt;&gt;"",MIN(Q256,IF(L256="Escalated",B256+Settings!$B$9,WORKDAY(B256,Settings!$B$8))),IF(L256="Escalated",B256+Settings!$B$9,WORKDAY(B256,Settings!$B$8))))</f>
        <v/>
      </c>
      <c r="S256" s="45" t="n"/>
      <c r="T256" s="44" t="n"/>
      <c r="U256" s="46" t="n"/>
      <c r="V256" s="44" t="n"/>
      <c r="W256" s="44" t="n"/>
      <c r="X256" s="44" t="n"/>
      <c r="Y256" s="41">
        <f>IF(B256="","",IF(S256&lt;&gt;"",S256,Settings!$B$4)-B256)</f>
        <v/>
      </c>
      <c r="Z256" s="41">
        <f>IF(B256="","",IF(S256&lt;&gt;"",IF(S256&gt;R256,"Closed late","Closed on time"),IF(Settings!$B$4&gt;R256,"Open: overdue","Open")))</f>
        <v/>
      </c>
      <c r="AA256" s="41">
        <f>IF(B256="","",IF(NETWORKDAYS(B256,C256)-1&gt;Settings!$B$5,"Logged late",IF(AND(L256="Escalated",M256=""),"Escalate to Compliance",IF(AND(L256="Escalated",N256=""),"Notify Sponsor Bank",IF(AND(L256="Escalated",N256&lt;&gt;"",NETWORKDAYS(B256,N256)-1&gt;Settings!$B$10),"Sponsor Bank notified late",IF(AND(K256&lt;&gt;"",K256&lt;&gt;"None",Q256=""),"Enter the legal deadline",IF(AND(S256&lt;&gt;"",OR(T256="",V256="")),"Record outcome and root cause",IF(AND(P256="",S256="",Settings!$B$4&gt;O256),"Acknowledgment overdue",""))))))))</f>
        <v/>
      </c>
    </row>
    <row r="257" ht="15.75" customHeight="1" s="31">
      <c r="A257" s="44" t="n"/>
      <c r="B257" s="45" t="n"/>
      <c r="C257" s="45" t="n"/>
      <c r="D257" s="44" t="n"/>
      <c r="E257" s="44" t="n"/>
      <c r="F257" s="44" t="n"/>
      <c r="G257" s="44" t="n"/>
      <c r="H257" s="44" t="n"/>
      <c r="I257" s="44" t="n"/>
      <c r="J257" s="44" t="n"/>
      <c r="K257" s="44" t="n"/>
      <c r="L257" s="41">
        <f>IF(B257="","",IF(OR(COUNTIF(Settings!$E$4:$E$9,D257)&gt;0,I257="Yes",J257="Yes",K257="Fair lending allegation"),"Escalated","Standard"))</f>
        <v/>
      </c>
      <c r="M257" s="45" t="n"/>
      <c r="N257" s="45" t="n"/>
      <c r="O257" s="42">
        <f>IF(B257="","",WORKDAY(B257,Settings!$B$7))</f>
        <v/>
      </c>
      <c r="P257" s="45" t="n"/>
      <c r="Q257" s="45" t="n"/>
      <c r="R257" s="42">
        <f>IF(B257="","",IF(Q257&lt;&gt;"",MIN(Q257,IF(L257="Escalated",B257+Settings!$B$9,WORKDAY(B257,Settings!$B$8))),IF(L257="Escalated",B257+Settings!$B$9,WORKDAY(B257,Settings!$B$8))))</f>
        <v/>
      </c>
      <c r="S257" s="45" t="n"/>
      <c r="T257" s="44" t="n"/>
      <c r="U257" s="46" t="n"/>
      <c r="V257" s="44" t="n"/>
      <c r="W257" s="44" t="n"/>
      <c r="X257" s="44" t="n"/>
      <c r="Y257" s="41">
        <f>IF(B257="","",IF(S257&lt;&gt;"",S257,Settings!$B$4)-B257)</f>
        <v/>
      </c>
      <c r="Z257" s="41">
        <f>IF(B257="","",IF(S257&lt;&gt;"",IF(S257&gt;R257,"Closed late","Closed on time"),IF(Settings!$B$4&gt;R257,"Open: overdue","Open")))</f>
        <v/>
      </c>
      <c r="AA257" s="41">
        <f>IF(B257="","",IF(NETWORKDAYS(B257,C257)-1&gt;Settings!$B$5,"Logged late",IF(AND(L257="Escalated",M257=""),"Escalate to Compliance",IF(AND(L257="Escalated",N257=""),"Notify Sponsor Bank",IF(AND(L257="Escalated",N257&lt;&gt;"",NETWORKDAYS(B257,N257)-1&gt;Settings!$B$10),"Sponsor Bank notified late",IF(AND(K257&lt;&gt;"",K257&lt;&gt;"None",Q257=""),"Enter the legal deadline",IF(AND(S257&lt;&gt;"",OR(T257="",V257="")),"Record outcome and root cause",IF(AND(P257="",S257="",Settings!$B$4&gt;O257),"Acknowledgment overdue",""))))))))</f>
        <v/>
      </c>
    </row>
    <row r="258" ht="15.75" customHeight="1" s="31">
      <c r="A258" s="44" t="n"/>
      <c r="B258" s="45" t="n"/>
      <c r="C258" s="45" t="n"/>
      <c r="D258" s="44" t="n"/>
      <c r="E258" s="44" t="n"/>
      <c r="F258" s="44" t="n"/>
      <c r="G258" s="44" t="n"/>
      <c r="H258" s="44" t="n"/>
      <c r="I258" s="44" t="n"/>
      <c r="J258" s="44" t="n"/>
      <c r="K258" s="44" t="n"/>
      <c r="L258" s="41">
        <f>IF(B258="","",IF(OR(COUNTIF(Settings!$E$4:$E$9,D258)&gt;0,I258="Yes",J258="Yes",K258="Fair lending allegation"),"Escalated","Standard"))</f>
        <v/>
      </c>
      <c r="M258" s="45" t="n"/>
      <c r="N258" s="45" t="n"/>
      <c r="O258" s="42">
        <f>IF(B258="","",WORKDAY(B258,Settings!$B$7))</f>
        <v/>
      </c>
      <c r="P258" s="45" t="n"/>
      <c r="Q258" s="45" t="n"/>
      <c r="R258" s="42">
        <f>IF(B258="","",IF(Q258&lt;&gt;"",MIN(Q258,IF(L258="Escalated",B258+Settings!$B$9,WORKDAY(B258,Settings!$B$8))),IF(L258="Escalated",B258+Settings!$B$9,WORKDAY(B258,Settings!$B$8))))</f>
        <v/>
      </c>
      <c r="S258" s="45" t="n"/>
      <c r="T258" s="44" t="n"/>
      <c r="U258" s="46" t="n"/>
      <c r="V258" s="44" t="n"/>
      <c r="W258" s="44" t="n"/>
      <c r="X258" s="44" t="n"/>
      <c r="Y258" s="41">
        <f>IF(B258="","",IF(S258&lt;&gt;"",S258,Settings!$B$4)-B258)</f>
        <v/>
      </c>
      <c r="Z258" s="41">
        <f>IF(B258="","",IF(S258&lt;&gt;"",IF(S258&gt;R258,"Closed late","Closed on time"),IF(Settings!$B$4&gt;R258,"Open: overdue","Open")))</f>
        <v/>
      </c>
      <c r="AA258" s="41">
        <f>IF(B258="","",IF(NETWORKDAYS(B258,C258)-1&gt;Settings!$B$5,"Logged late",IF(AND(L258="Escalated",M258=""),"Escalate to Compliance",IF(AND(L258="Escalated",N258=""),"Notify Sponsor Bank",IF(AND(L258="Escalated",N258&lt;&gt;"",NETWORKDAYS(B258,N258)-1&gt;Settings!$B$10),"Sponsor Bank notified late",IF(AND(K258&lt;&gt;"",K258&lt;&gt;"None",Q258=""),"Enter the legal deadline",IF(AND(S258&lt;&gt;"",OR(T258="",V258="")),"Record outcome and root cause",IF(AND(P258="",S258="",Settings!$B$4&gt;O258),"Acknowledgment overdue",""))))))))</f>
        <v/>
      </c>
    </row>
    <row r="259" ht="15.75" customHeight="1" s="31">
      <c r="A259" s="44" t="n"/>
      <c r="B259" s="45" t="n"/>
      <c r="C259" s="45" t="n"/>
      <c r="D259" s="44" t="n"/>
      <c r="E259" s="44" t="n"/>
      <c r="F259" s="44" t="n"/>
      <c r="G259" s="44" t="n"/>
      <c r="H259" s="44" t="n"/>
      <c r="I259" s="44" t="n"/>
      <c r="J259" s="44" t="n"/>
      <c r="K259" s="44" t="n"/>
      <c r="L259" s="41">
        <f>IF(B259="","",IF(OR(COUNTIF(Settings!$E$4:$E$9,D259)&gt;0,I259="Yes",J259="Yes",K259="Fair lending allegation"),"Escalated","Standard"))</f>
        <v/>
      </c>
      <c r="M259" s="45" t="n"/>
      <c r="N259" s="45" t="n"/>
      <c r="O259" s="42">
        <f>IF(B259="","",WORKDAY(B259,Settings!$B$7))</f>
        <v/>
      </c>
      <c r="P259" s="45" t="n"/>
      <c r="Q259" s="45" t="n"/>
      <c r="R259" s="42">
        <f>IF(B259="","",IF(Q259&lt;&gt;"",MIN(Q259,IF(L259="Escalated",B259+Settings!$B$9,WORKDAY(B259,Settings!$B$8))),IF(L259="Escalated",B259+Settings!$B$9,WORKDAY(B259,Settings!$B$8))))</f>
        <v/>
      </c>
      <c r="S259" s="45" t="n"/>
      <c r="T259" s="44" t="n"/>
      <c r="U259" s="46" t="n"/>
      <c r="V259" s="44" t="n"/>
      <c r="W259" s="44" t="n"/>
      <c r="X259" s="44" t="n"/>
      <c r="Y259" s="41">
        <f>IF(B259="","",IF(S259&lt;&gt;"",S259,Settings!$B$4)-B259)</f>
        <v/>
      </c>
      <c r="Z259" s="41">
        <f>IF(B259="","",IF(S259&lt;&gt;"",IF(S259&gt;R259,"Closed late","Closed on time"),IF(Settings!$B$4&gt;R259,"Open: overdue","Open")))</f>
        <v/>
      </c>
      <c r="AA259" s="41">
        <f>IF(B259="","",IF(NETWORKDAYS(B259,C259)-1&gt;Settings!$B$5,"Logged late",IF(AND(L259="Escalated",M259=""),"Escalate to Compliance",IF(AND(L259="Escalated",N259=""),"Notify Sponsor Bank",IF(AND(L259="Escalated",N259&lt;&gt;"",NETWORKDAYS(B259,N259)-1&gt;Settings!$B$10),"Sponsor Bank notified late",IF(AND(K259&lt;&gt;"",K259&lt;&gt;"None",Q259=""),"Enter the legal deadline",IF(AND(S259&lt;&gt;"",OR(T259="",V259="")),"Record outcome and root cause",IF(AND(P259="",S259="",Settings!$B$4&gt;O259),"Acknowledgment overdue",""))))))))</f>
        <v/>
      </c>
    </row>
    <row r="260" ht="15.75" customHeight="1" s="31">
      <c r="A260" s="44" t="n"/>
      <c r="B260" s="45" t="n"/>
      <c r="C260" s="45" t="n"/>
      <c r="D260" s="44" t="n"/>
      <c r="E260" s="44" t="n"/>
      <c r="F260" s="44" t="n"/>
      <c r="G260" s="44" t="n"/>
      <c r="H260" s="44" t="n"/>
      <c r="I260" s="44" t="n"/>
      <c r="J260" s="44" t="n"/>
      <c r="K260" s="44" t="n"/>
      <c r="L260" s="41">
        <f>IF(B260="","",IF(OR(COUNTIF(Settings!$E$4:$E$9,D260)&gt;0,I260="Yes",J260="Yes",K260="Fair lending allegation"),"Escalated","Standard"))</f>
        <v/>
      </c>
      <c r="M260" s="45" t="n"/>
      <c r="N260" s="45" t="n"/>
      <c r="O260" s="42">
        <f>IF(B260="","",WORKDAY(B260,Settings!$B$7))</f>
        <v/>
      </c>
      <c r="P260" s="45" t="n"/>
      <c r="Q260" s="45" t="n"/>
      <c r="R260" s="42">
        <f>IF(B260="","",IF(Q260&lt;&gt;"",MIN(Q260,IF(L260="Escalated",B260+Settings!$B$9,WORKDAY(B260,Settings!$B$8))),IF(L260="Escalated",B260+Settings!$B$9,WORKDAY(B260,Settings!$B$8))))</f>
        <v/>
      </c>
      <c r="S260" s="45" t="n"/>
      <c r="T260" s="44" t="n"/>
      <c r="U260" s="46" t="n"/>
      <c r="V260" s="44" t="n"/>
      <c r="W260" s="44" t="n"/>
      <c r="X260" s="44" t="n"/>
      <c r="Y260" s="41">
        <f>IF(B260="","",IF(S260&lt;&gt;"",S260,Settings!$B$4)-B260)</f>
        <v/>
      </c>
      <c r="Z260" s="41">
        <f>IF(B260="","",IF(S260&lt;&gt;"",IF(S260&gt;R260,"Closed late","Closed on time"),IF(Settings!$B$4&gt;R260,"Open: overdue","Open")))</f>
        <v/>
      </c>
      <c r="AA260" s="41">
        <f>IF(B260="","",IF(NETWORKDAYS(B260,C260)-1&gt;Settings!$B$5,"Logged late",IF(AND(L260="Escalated",M260=""),"Escalate to Compliance",IF(AND(L260="Escalated",N260=""),"Notify Sponsor Bank",IF(AND(L260="Escalated",N260&lt;&gt;"",NETWORKDAYS(B260,N260)-1&gt;Settings!$B$10),"Sponsor Bank notified late",IF(AND(K260&lt;&gt;"",K260&lt;&gt;"None",Q260=""),"Enter the legal deadline",IF(AND(S260&lt;&gt;"",OR(T260="",V260="")),"Record outcome and root cause",IF(AND(P260="",S260="",Settings!$B$4&gt;O260),"Acknowledgment overdue",""))))))))</f>
        <v/>
      </c>
    </row>
    <row r="261" ht="15.75" customHeight="1" s="31">
      <c r="A261" s="44" t="n"/>
      <c r="B261" s="45" t="n"/>
      <c r="C261" s="45" t="n"/>
      <c r="D261" s="44" t="n"/>
      <c r="E261" s="44" t="n"/>
      <c r="F261" s="44" t="n"/>
      <c r="G261" s="44" t="n"/>
      <c r="H261" s="44" t="n"/>
      <c r="I261" s="44" t="n"/>
      <c r="J261" s="44" t="n"/>
      <c r="K261" s="44" t="n"/>
      <c r="L261" s="41">
        <f>IF(B261="","",IF(OR(COUNTIF(Settings!$E$4:$E$9,D261)&gt;0,I261="Yes",J261="Yes",K261="Fair lending allegation"),"Escalated","Standard"))</f>
        <v/>
      </c>
      <c r="M261" s="45" t="n"/>
      <c r="N261" s="45" t="n"/>
      <c r="O261" s="42">
        <f>IF(B261="","",WORKDAY(B261,Settings!$B$7))</f>
        <v/>
      </c>
      <c r="P261" s="45" t="n"/>
      <c r="Q261" s="45" t="n"/>
      <c r="R261" s="42">
        <f>IF(B261="","",IF(Q261&lt;&gt;"",MIN(Q261,IF(L261="Escalated",B261+Settings!$B$9,WORKDAY(B261,Settings!$B$8))),IF(L261="Escalated",B261+Settings!$B$9,WORKDAY(B261,Settings!$B$8))))</f>
        <v/>
      </c>
      <c r="S261" s="45" t="n"/>
      <c r="T261" s="44" t="n"/>
      <c r="U261" s="46" t="n"/>
      <c r="V261" s="44" t="n"/>
      <c r="W261" s="44" t="n"/>
      <c r="X261" s="44" t="n"/>
      <c r="Y261" s="41">
        <f>IF(B261="","",IF(S261&lt;&gt;"",S261,Settings!$B$4)-B261)</f>
        <v/>
      </c>
      <c r="Z261" s="41">
        <f>IF(B261="","",IF(S261&lt;&gt;"",IF(S261&gt;R261,"Closed late","Closed on time"),IF(Settings!$B$4&gt;R261,"Open: overdue","Open")))</f>
        <v/>
      </c>
      <c r="AA261" s="41">
        <f>IF(B261="","",IF(NETWORKDAYS(B261,C261)-1&gt;Settings!$B$5,"Logged late",IF(AND(L261="Escalated",M261=""),"Escalate to Compliance",IF(AND(L261="Escalated",N261=""),"Notify Sponsor Bank",IF(AND(L261="Escalated",N261&lt;&gt;"",NETWORKDAYS(B261,N261)-1&gt;Settings!$B$10),"Sponsor Bank notified late",IF(AND(K261&lt;&gt;"",K261&lt;&gt;"None",Q261=""),"Enter the legal deadline",IF(AND(S261&lt;&gt;"",OR(T261="",V261="")),"Record outcome and root cause",IF(AND(P261="",S261="",Settings!$B$4&gt;O261),"Acknowledgment overdue",""))))))))</f>
        <v/>
      </c>
    </row>
    <row r="262" ht="15.75" customHeight="1" s="31">
      <c r="A262" s="44" t="n"/>
      <c r="B262" s="45" t="n"/>
      <c r="C262" s="45" t="n"/>
      <c r="D262" s="44" t="n"/>
      <c r="E262" s="44" t="n"/>
      <c r="F262" s="44" t="n"/>
      <c r="G262" s="44" t="n"/>
      <c r="H262" s="44" t="n"/>
      <c r="I262" s="44" t="n"/>
      <c r="J262" s="44" t="n"/>
      <c r="K262" s="44" t="n"/>
      <c r="L262" s="41">
        <f>IF(B262="","",IF(OR(COUNTIF(Settings!$E$4:$E$9,D262)&gt;0,I262="Yes",J262="Yes",K262="Fair lending allegation"),"Escalated","Standard"))</f>
        <v/>
      </c>
      <c r="M262" s="45" t="n"/>
      <c r="N262" s="45" t="n"/>
      <c r="O262" s="42">
        <f>IF(B262="","",WORKDAY(B262,Settings!$B$7))</f>
        <v/>
      </c>
      <c r="P262" s="45" t="n"/>
      <c r="Q262" s="45" t="n"/>
      <c r="R262" s="42">
        <f>IF(B262="","",IF(Q262&lt;&gt;"",MIN(Q262,IF(L262="Escalated",B262+Settings!$B$9,WORKDAY(B262,Settings!$B$8))),IF(L262="Escalated",B262+Settings!$B$9,WORKDAY(B262,Settings!$B$8))))</f>
        <v/>
      </c>
      <c r="S262" s="45" t="n"/>
      <c r="T262" s="44" t="n"/>
      <c r="U262" s="46" t="n"/>
      <c r="V262" s="44" t="n"/>
      <c r="W262" s="44" t="n"/>
      <c r="X262" s="44" t="n"/>
      <c r="Y262" s="41">
        <f>IF(B262="","",IF(S262&lt;&gt;"",S262,Settings!$B$4)-B262)</f>
        <v/>
      </c>
      <c r="Z262" s="41">
        <f>IF(B262="","",IF(S262&lt;&gt;"",IF(S262&gt;R262,"Closed late","Closed on time"),IF(Settings!$B$4&gt;R262,"Open: overdue","Open")))</f>
        <v/>
      </c>
      <c r="AA262" s="41">
        <f>IF(B262="","",IF(NETWORKDAYS(B262,C262)-1&gt;Settings!$B$5,"Logged late",IF(AND(L262="Escalated",M262=""),"Escalate to Compliance",IF(AND(L262="Escalated",N262=""),"Notify Sponsor Bank",IF(AND(L262="Escalated",N262&lt;&gt;"",NETWORKDAYS(B262,N262)-1&gt;Settings!$B$10),"Sponsor Bank notified late",IF(AND(K262&lt;&gt;"",K262&lt;&gt;"None",Q262=""),"Enter the legal deadline",IF(AND(S262&lt;&gt;"",OR(T262="",V262="")),"Record outcome and root cause",IF(AND(P262="",S262="",Settings!$B$4&gt;O262),"Acknowledgment overdue",""))))))))</f>
        <v/>
      </c>
    </row>
    <row r="263" ht="15.75" customHeight="1" s="31">
      <c r="A263" s="44" t="n"/>
      <c r="B263" s="45" t="n"/>
      <c r="C263" s="45" t="n"/>
      <c r="D263" s="44" t="n"/>
      <c r="E263" s="44" t="n"/>
      <c r="F263" s="44" t="n"/>
      <c r="G263" s="44" t="n"/>
      <c r="H263" s="44" t="n"/>
      <c r="I263" s="44" t="n"/>
      <c r="J263" s="44" t="n"/>
      <c r="K263" s="44" t="n"/>
      <c r="L263" s="41">
        <f>IF(B263="","",IF(OR(COUNTIF(Settings!$E$4:$E$9,D263)&gt;0,I263="Yes",J263="Yes",K263="Fair lending allegation"),"Escalated","Standard"))</f>
        <v/>
      </c>
      <c r="M263" s="45" t="n"/>
      <c r="N263" s="45" t="n"/>
      <c r="O263" s="42">
        <f>IF(B263="","",WORKDAY(B263,Settings!$B$7))</f>
        <v/>
      </c>
      <c r="P263" s="45" t="n"/>
      <c r="Q263" s="45" t="n"/>
      <c r="R263" s="42">
        <f>IF(B263="","",IF(Q263&lt;&gt;"",MIN(Q263,IF(L263="Escalated",B263+Settings!$B$9,WORKDAY(B263,Settings!$B$8))),IF(L263="Escalated",B263+Settings!$B$9,WORKDAY(B263,Settings!$B$8))))</f>
        <v/>
      </c>
      <c r="S263" s="45" t="n"/>
      <c r="T263" s="44" t="n"/>
      <c r="U263" s="46" t="n"/>
      <c r="V263" s="44" t="n"/>
      <c r="W263" s="44" t="n"/>
      <c r="X263" s="44" t="n"/>
      <c r="Y263" s="41">
        <f>IF(B263="","",IF(S263&lt;&gt;"",S263,Settings!$B$4)-B263)</f>
        <v/>
      </c>
      <c r="Z263" s="41">
        <f>IF(B263="","",IF(S263&lt;&gt;"",IF(S263&gt;R263,"Closed late","Closed on time"),IF(Settings!$B$4&gt;R263,"Open: overdue","Open")))</f>
        <v/>
      </c>
      <c r="AA263" s="41">
        <f>IF(B263="","",IF(NETWORKDAYS(B263,C263)-1&gt;Settings!$B$5,"Logged late",IF(AND(L263="Escalated",M263=""),"Escalate to Compliance",IF(AND(L263="Escalated",N263=""),"Notify Sponsor Bank",IF(AND(L263="Escalated",N263&lt;&gt;"",NETWORKDAYS(B263,N263)-1&gt;Settings!$B$10),"Sponsor Bank notified late",IF(AND(K263&lt;&gt;"",K263&lt;&gt;"None",Q263=""),"Enter the legal deadline",IF(AND(S263&lt;&gt;"",OR(T263="",V263="")),"Record outcome and root cause",IF(AND(P263="",S263="",Settings!$B$4&gt;O263),"Acknowledgment overdue",""))))))))</f>
        <v/>
      </c>
    </row>
    <row r="264" ht="15.75" customHeight="1" s="31">
      <c r="A264" s="44" t="n"/>
      <c r="B264" s="45" t="n"/>
      <c r="C264" s="45" t="n"/>
      <c r="D264" s="44" t="n"/>
      <c r="E264" s="44" t="n"/>
      <c r="F264" s="44" t="n"/>
      <c r="G264" s="44" t="n"/>
      <c r="H264" s="44" t="n"/>
      <c r="I264" s="44" t="n"/>
      <c r="J264" s="44" t="n"/>
      <c r="K264" s="44" t="n"/>
      <c r="L264" s="41">
        <f>IF(B264="","",IF(OR(COUNTIF(Settings!$E$4:$E$9,D264)&gt;0,I264="Yes",J264="Yes",K264="Fair lending allegation"),"Escalated","Standard"))</f>
        <v/>
      </c>
      <c r="M264" s="45" t="n"/>
      <c r="N264" s="45" t="n"/>
      <c r="O264" s="42">
        <f>IF(B264="","",WORKDAY(B264,Settings!$B$7))</f>
        <v/>
      </c>
      <c r="P264" s="45" t="n"/>
      <c r="Q264" s="45" t="n"/>
      <c r="R264" s="42">
        <f>IF(B264="","",IF(Q264&lt;&gt;"",MIN(Q264,IF(L264="Escalated",B264+Settings!$B$9,WORKDAY(B264,Settings!$B$8))),IF(L264="Escalated",B264+Settings!$B$9,WORKDAY(B264,Settings!$B$8))))</f>
        <v/>
      </c>
      <c r="S264" s="45" t="n"/>
      <c r="T264" s="44" t="n"/>
      <c r="U264" s="46" t="n"/>
      <c r="V264" s="44" t="n"/>
      <c r="W264" s="44" t="n"/>
      <c r="X264" s="44" t="n"/>
      <c r="Y264" s="41">
        <f>IF(B264="","",IF(S264&lt;&gt;"",S264,Settings!$B$4)-B264)</f>
        <v/>
      </c>
      <c r="Z264" s="41">
        <f>IF(B264="","",IF(S264&lt;&gt;"",IF(S264&gt;R264,"Closed late","Closed on time"),IF(Settings!$B$4&gt;R264,"Open: overdue","Open")))</f>
        <v/>
      </c>
      <c r="AA264" s="41">
        <f>IF(B264="","",IF(NETWORKDAYS(B264,C264)-1&gt;Settings!$B$5,"Logged late",IF(AND(L264="Escalated",M264=""),"Escalate to Compliance",IF(AND(L264="Escalated",N264=""),"Notify Sponsor Bank",IF(AND(L264="Escalated",N264&lt;&gt;"",NETWORKDAYS(B264,N264)-1&gt;Settings!$B$10),"Sponsor Bank notified late",IF(AND(K264&lt;&gt;"",K264&lt;&gt;"None",Q264=""),"Enter the legal deadline",IF(AND(S264&lt;&gt;"",OR(T264="",V264="")),"Record outcome and root cause",IF(AND(P264="",S264="",Settings!$B$4&gt;O264),"Acknowledgment overdue",""))))))))</f>
        <v/>
      </c>
    </row>
    <row r="265" ht="15.75" customHeight="1" s="31">
      <c r="A265" s="44" t="n"/>
      <c r="B265" s="45" t="n"/>
      <c r="C265" s="45" t="n"/>
      <c r="D265" s="44" t="n"/>
      <c r="E265" s="44" t="n"/>
      <c r="F265" s="44" t="n"/>
      <c r="G265" s="44" t="n"/>
      <c r="H265" s="44" t="n"/>
      <c r="I265" s="44" t="n"/>
      <c r="J265" s="44" t="n"/>
      <c r="K265" s="44" t="n"/>
      <c r="L265" s="41">
        <f>IF(B265="","",IF(OR(COUNTIF(Settings!$E$4:$E$9,D265)&gt;0,I265="Yes",J265="Yes",K265="Fair lending allegation"),"Escalated","Standard"))</f>
        <v/>
      </c>
      <c r="M265" s="45" t="n"/>
      <c r="N265" s="45" t="n"/>
      <c r="O265" s="42">
        <f>IF(B265="","",WORKDAY(B265,Settings!$B$7))</f>
        <v/>
      </c>
      <c r="P265" s="45" t="n"/>
      <c r="Q265" s="45" t="n"/>
      <c r="R265" s="42">
        <f>IF(B265="","",IF(Q265&lt;&gt;"",MIN(Q265,IF(L265="Escalated",B265+Settings!$B$9,WORKDAY(B265,Settings!$B$8))),IF(L265="Escalated",B265+Settings!$B$9,WORKDAY(B265,Settings!$B$8))))</f>
        <v/>
      </c>
      <c r="S265" s="45" t="n"/>
      <c r="T265" s="44" t="n"/>
      <c r="U265" s="46" t="n"/>
      <c r="V265" s="44" t="n"/>
      <c r="W265" s="44" t="n"/>
      <c r="X265" s="44" t="n"/>
      <c r="Y265" s="41">
        <f>IF(B265="","",IF(S265&lt;&gt;"",S265,Settings!$B$4)-B265)</f>
        <v/>
      </c>
      <c r="Z265" s="41">
        <f>IF(B265="","",IF(S265&lt;&gt;"",IF(S265&gt;R265,"Closed late","Closed on time"),IF(Settings!$B$4&gt;R265,"Open: overdue","Open")))</f>
        <v/>
      </c>
      <c r="AA265" s="41">
        <f>IF(B265="","",IF(NETWORKDAYS(B265,C265)-1&gt;Settings!$B$5,"Logged late",IF(AND(L265="Escalated",M265=""),"Escalate to Compliance",IF(AND(L265="Escalated",N265=""),"Notify Sponsor Bank",IF(AND(L265="Escalated",N265&lt;&gt;"",NETWORKDAYS(B265,N265)-1&gt;Settings!$B$10),"Sponsor Bank notified late",IF(AND(K265&lt;&gt;"",K265&lt;&gt;"None",Q265=""),"Enter the legal deadline",IF(AND(S265&lt;&gt;"",OR(T265="",V265="")),"Record outcome and root cause",IF(AND(P265="",S265="",Settings!$B$4&gt;O265),"Acknowledgment overdue",""))))))))</f>
        <v/>
      </c>
    </row>
    <row r="266" ht="15.75" customHeight="1" s="31">
      <c r="A266" s="44" t="n"/>
      <c r="B266" s="45" t="n"/>
      <c r="C266" s="45" t="n"/>
      <c r="D266" s="44" t="n"/>
      <c r="E266" s="44" t="n"/>
      <c r="F266" s="44" t="n"/>
      <c r="G266" s="44" t="n"/>
      <c r="H266" s="44" t="n"/>
      <c r="I266" s="44" t="n"/>
      <c r="J266" s="44" t="n"/>
      <c r="K266" s="44" t="n"/>
      <c r="L266" s="41">
        <f>IF(B266="","",IF(OR(COUNTIF(Settings!$E$4:$E$9,D266)&gt;0,I266="Yes",J266="Yes",K266="Fair lending allegation"),"Escalated","Standard"))</f>
        <v/>
      </c>
      <c r="M266" s="45" t="n"/>
      <c r="N266" s="45" t="n"/>
      <c r="O266" s="42">
        <f>IF(B266="","",WORKDAY(B266,Settings!$B$7))</f>
        <v/>
      </c>
      <c r="P266" s="45" t="n"/>
      <c r="Q266" s="45" t="n"/>
      <c r="R266" s="42">
        <f>IF(B266="","",IF(Q266&lt;&gt;"",MIN(Q266,IF(L266="Escalated",B266+Settings!$B$9,WORKDAY(B266,Settings!$B$8))),IF(L266="Escalated",B266+Settings!$B$9,WORKDAY(B266,Settings!$B$8))))</f>
        <v/>
      </c>
      <c r="S266" s="45" t="n"/>
      <c r="T266" s="44" t="n"/>
      <c r="U266" s="46" t="n"/>
      <c r="V266" s="44" t="n"/>
      <c r="W266" s="44" t="n"/>
      <c r="X266" s="44" t="n"/>
      <c r="Y266" s="41">
        <f>IF(B266="","",IF(S266&lt;&gt;"",S266,Settings!$B$4)-B266)</f>
        <v/>
      </c>
      <c r="Z266" s="41">
        <f>IF(B266="","",IF(S266&lt;&gt;"",IF(S266&gt;R266,"Closed late","Closed on time"),IF(Settings!$B$4&gt;R266,"Open: overdue","Open")))</f>
        <v/>
      </c>
      <c r="AA266" s="41">
        <f>IF(B266="","",IF(NETWORKDAYS(B266,C266)-1&gt;Settings!$B$5,"Logged late",IF(AND(L266="Escalated",M266=""),"Escalate to Compliance",IF(AND(L266="Escalated",N266=""),"Notify Sponsor Bank",IF(AND(L266="Escalated",N266&lt;&gt;"",NETWORKDAYS(B266,N266)-1&gt;Settings!$B$10),"Sponsor Bank notified late",IF(AND(K266&lt;&gt;"",K266&lt;&gt;"None",Q266=""),"Enter the legal deadline",IF(AND(S266&lt;&gt;"",OR(T266="",V266="")),"Record outcome and root cause",IF(AND(P266="",S266="",Settings!$B$4&gt;O266),"Acknowledgment overdue",""))))))))</f>
        <v/>
      </c>
    </row>
    <row r="267" ht="15.75" customHeight="1" s="31">
      <c r="A267" s="44" t="n"/>
      <c r="B267" s="45" t="n"/>
      <c r="C267" s="45" t="n"/>
      <c r="D267" s="44" t="n"/>
      <c r="E267" s="44" t="n"/>
      <c r="F267" s="44" t="n"/>
      <c r="G267" s="44" t="n"/>
      <c r="H267" s="44" t="n"/>
      <c r="I267" s="44" t="n"/>
      <c r="J267" s="44" t="n"/>
      <c r="K267" s="44" t="n"/>
      <c r="L267" s="41">
        <f>IF(B267="","",IF(OR(COUNTIF(Settings!$E$4:$E$9,D267)&gt;0,I267="Yes",J267="Yes",K267="Fair lending allegation"),"Escalated","Standard"))</f>
        <v/>
      </c>
      <c r="M267" s="45" t="n"/>
      <c r="N267" s="45" t="n"/>
      <c r="O267" s="42">
        <f>IF(B267="","",WORKDAY(B267,Settings!$B$7))</f>
        <v/>
      </c>
      <c r="P267" s="45" t="n"/>
      <c r="Q267" s="45" t="n"/>
      <c r="R267" s="42">
        <f>IF(B267="","",IF(Q267&lt;&gt;"",MIN(Q267,IF(L267="Escalated",B267+Settings!$B$9,WORKDAY(B267,Settings!$B$8))),IF(L267="Escalated",B267+Settings!$B$9,WORKDAY(B267,Settings!$B$8))))</f>
        <v/>
      </c>
      <c r="S267" s="45" t="n"/>
      <c r="T267" s="44" t="n"/>
      <c r="U267" s="46" t="n"/>
      <c r="V267" s="44" t="n"/>
      <c r="W267" s="44" t="n"/>
      <c r="X267" s="44" t="n"/>
      <c r="Y267" s="41">
        <f>IF(B267="","",IF(S267&lt;&gt;"",S267,Settings!$B$4)-B267)</f>
        <v/>
      </c>
      <c r="Z267" s="41">
        <f>IF(B267="","",IF(S267&lt;&gt;"",IF(S267&gt;R267,"Closed late","Closed on time"),IF(Settings!$B$4&gt;R267,"Open: overdue","Open")))</f>
        <v/>
      </c>
      <c r="AA267" s="41">
        <f>IF(B267="","",IF(NETWORKDAYS(B267,C267)-1&gt;Settings!$B$5,"Logged late",IF(AND(L267="Escalated",M267=""),"Escalate to Compliance",IF(AND(L267="Escalated",N267=""),"Notify Sponsor Bank",IF(AND(L267="Escalated",N267&lt;&gt;"",NETWORKDAYS(B267,N267)-1&gt;Settings!$B$10),"Sponsor Bank notified late",IF(AND(K267&lt;&gt;"",K267&lt;&gt;"None",Q267=""),"Enter the legal deadline",IF(AND(S267&lt;&gt;"",OR(T267="",V267="")),"Record outcome and root cause",IF(AND(P267="",S267="",Settings!$B$4&gt;O267),"Acknowledgment overdue",""))))))))</f>
        <v/>
      </c>
    </row>
    <row r="268" ht="15.75" customHeight="1" s="31">
      <c r="A268" s="44" t="n"/>
      <c r="B268" s="45" t="n"/>
      <c r="C268" s="45" t="n"/>
      <c r="D268" s="44" t="n"/>
      <c r="E268" s="44" t="n"/>
      <c r="F268" s="44" t="n"/>
      <c r="G268" s="44" t="n"/>
      <c r="H268" s="44" t="n"/>
      <c r="I268" s="44" t="n"/>
      <c r="J268" s="44" t="n"/>
      <c r="K268" s="44" t="n"/>
      <c r="L268" s="41">
        <f>IF(B268="","",IF(OR(COUNTIF(Settings!$E$4:$E$9,D268)&gt;0,I268="Yes",J268="Yes",K268="Fair lending allegation"),"Escalated","Standard"))</f>
        <v/>
      </c>
      <c r="M268" s="45" t="n"/>
      <c r="N268" s="45" t="n"/>
      <c r="O268" s="42">
        <f>IF(B268="","",WORKDAY(B268,Settings!$B$7))</f>
        <v/>
      </c>
      <c r="P268" s="45" t="n"/>
      <c r="Q268" s="45" t="n"/>
      <c r="R268" s="42">
        <f>IF(B268="","",IF(Q268&lt;&gt;"",MIN(Q268,IF(L268="Escalated",B268+Settings!$B$9,WORKDAY(B268,Settings!$B$8))),IF(L268="Escalated",B268+Settings!$B$9,WORKDAY(B268,Settings!$B$8))))</f>
        <v/>
      </c>
      <c r="S268" s="45" t="n"/>
      <c r="T268" s="44" t="n"/>
      <c r="U268" s="46" t="n"/>
      <c r="V268" s="44" t="n"/>
      <c r="W268" s="44" t="n"/>
      <c r="X268" s="44" t="n"/>
      <c r="Y268" s="41">
        <f>IF(B268="","",IF(S268&lt;&gt;"",S268,Settings!$B$4)-B268)</f>
        <v/>
      </c>
      <c r="Z268" s="41">
        <f>IF(B268="","",IF(S268&lt;&gt;"",IF(S268&gt;R268,"Closed late","Closed on time"),IF(Settings!$B$4&gt;R268,"Open: overdue","Open")))</f>
        <v/>
      </c>
      <c r="AA268" s="41">
        <f>IF(B268="","",IF(NETWORKDAYS(B268,C268)-1&gt;Settings!$B$5,"Logged late",IF(AND(L268="Escalated",M268=""),"Escalate to Compliance",IF(AND(L268="Escalated",N268=""),"Notify Sponsor Bank",IF(AND(L268="Escalated",N268&lt;&gt;"",NETWORKDAYS(B268,N268)-1&gt;Settings!$B$10),"Sponsor Bank notified late",IF(AND(K268&lt;&gt;"",K268&lt;&gt;"None",Q268=""),"Enter the legal deadline",IF(AND(S268&lt;&gt;"",OR(T268="",V268="")),"Record outcome and root cause",IF(AND(P268="",S268="",Settings!$B$4&gt;O268),"Acknowledgment overdue",""))))))))</f>
        <v/>
      </c>
    </row>
    <row r="269" ht="15.75" customHeight="1" s="31">
      <c r="A269" s="44" t="n"/>
      <c r="B269" s="45" t="n"/>
      <c r="C269" s="45" t="n"/>
      <c r="D269" s="44" t="n"/>
      <c r="E269" s="44" t="n"/>
      <c r="F269" s="44" t="n"/>
      <c r="G269" s="44" t="n"/>
      <c r="H269" s="44" t="n"/>
      <c r="I269" s="44" t="n"/>
      <c r="J269" s="44" t="n"/>
      <c r="K269" s="44" t="n"/>
      <c r="L269" s="41">
        <f>IF(B269="","",IF(OR(COUNTIF(Settings!$E$4:$E$9,D269)&gt;0,I269="Yes",J269="Yes",K269="Fair lending allegation"),"Escalated","Standard"))</f>
        <v/>
      </c>
      <c r="M269" s="45" t="n"/>
      <c r="N269" s="45" t="n"/>
      <c r="O269" s="42">
        <f>IF(B269="","",WORKDAY(B269,Settings!$B$7))</f>
        <v/>
      </c>
      <c r="P269" s="45" t="n"/>
      <c r="Q269" s="45" t="n"/>
      <c r="R269" s="42">
        <f>IF(B269="","",IF(Q269&lt;&gt;"",MIN(Q269,IF(L269="Escalated",B269+Settings!$B$9,WORKDAY(B269,Settings!$B$8))),IF(L269="Escalated",B269+Settings!$B$9,WORKDAY(B269,Settings!$B$8))))</f>
        <v/>
      </c>
      <c r="S269" s="45" t="n"/>
      <c r="T269" s="44" t="n"/>
      <c r="U269" s="46" t="n"/>
      <c r="V269" s="44" t="n"/>
      <c r="W269" s="44" t="n"/>
      <c r="X269" s="44" t="n"/>
      <c r="Y269" s="41">
        <f>IF(B269="","",IF(S269&lt;&gt;"",S269,Settings!$B$4)-B269)</f>
        <v/>
      </c>
      <c r="Z269" s="41">
        <f>IF(B269="","",IF(S269&lt;&gt;"",IF(S269&gt;R269,"Closed late","Closed on time"),IF(Settings!$B$4&gt;R269,"Open: overdue","Open")))</f>
        <v/>
      </c>
      <c r="AA269" s="41">
        <f>IF(B269="","",IF(NETWORKDAYS(B269,C269)-1&gt;Settings!$B$5,"Logged late",IF(AND(L269="Escalated",M269=""),"Escalate to Compliance",IF(AND(L269="Escalated",N269=""),"Notify Sponsor Bank",IF(AND(L269="Escalated",N269&lt;&gt;"",NETWORKDAYS(B269,N269)-1&gt;Settings!$B$10),"Sponsor Bank notified late",IF(AND(K269&lt;&gt;"",K269&lt;&gt;"None",Q269=""),"Enter the legal deadline",IF(AND(S269&lt;&gt;"",OR(T269="",V269="")),"Record outcome and root cause",IF(AND(P269="",S269="",Settings!$B$4&gt;O269),"Acknowledgment overdue",""))))))))</f>
        <v/>
      </c>
    </row>
    <row r="270" ht="15.75" customHeight="1" s="31">
      <c r="A270" s="44" t="n"/>
      <c r="B270" s="45" t="n"/>
      <c r="C270" s="45" t="n"/>
      <c r="D270" s="44" t="n"/>
      <c r="E270" s="44" t="n"/>
      <c r="F270" s="44" t="n"/>
      <c r="G270" s="44" t="n"/>
      <c r="H270" s="44" t="n"/>
      <c r="I270" s="44" t="n"/>
      <c r="J270" s="44" t="n"/>
      <c r="K270" s="44" t="n"/>
      <c r="L270" s="41">
        <f>IF(B270="","",IF(OR(COUNTIF(Settings!$E$4:$E$9,D270)&gt;0,I270="Yes",J270="Yes",K270="Fair lending allegation"),"Escalated","Standard"))</f>
        <v/>
      </c>
      <c r="M270" s="45" t="n"/>
      <c r="N270" s="45" t="n"/>
      <c r="O270" s="42">
        <f>IF(B270="","",WORKDAY(B270,Settings!$B$7))</f>
        <v/>
      </c>
      <c r="P270" s="45" t="n"/>
      <c r="Q270" s="45" t="n"/>
      <c r="R270" s="42">
        <f>IF(B270="","",IF(Q270&lt;&gt;"",MIN(Q270,IF(L270="Escalated",B270+Settings!$B$9,WORKDAY(B270,Settings!$B$8))),IF(L270="Escalated",B270+Settings!$B$9,WORKDAY(B270,Settings!$B$8))))</f>
        <v/>
      </c>
      <c r="S270" s="45" t="n"/>
      <c r="T270" s="44" t="n"/>
      <c r="U270" s="46" t="n"/>
      <c r="V270" s="44" t="n"/>
      <c r="W270" s="44" t="n"/>
      <c r="X270" s="44" t="n"/>
      <c r="Y270" s="41">
        <f>IF(B270="","",IF(S270&lt;&gt;"",S270,Settings!$B$4)-B270)</f>
        <v/>
      </c>
      <c r="Z270" s="41">
        <f>IF(B270="","",IF(S270&lt;&gt;"",IF(S270&gt;R270,"Closed late","Closed on time"),IF(Settings!$B$4&gt;R270,"Open: overdue","Open")))</f>
        <v/>
      </c>
      <c r="AA270" s="41">
        <f>IF(B270="","",IF(NETWORKDAYS(B270,C270)-1&gt;Settings!$B$5,"Logged late",IF(AND(L270="Escalated",M270=""),"Escalate to Compliance",IF(AND(L270="Escalated",N270=""),"Notify Sponsor Bank",IF(AND(L270="Escalated",N270&lt;&gt;"",NETWORKDAYS(B270,N270)-1&gt;Settings!$B$10),"Sponsor Bank notified late",IF(AND(K270&lt;&gt;"",K270&lt;&gt;"None",Q270=""),"Enter the legal deadline",IF(AND(S270&lt;&gt;"",OR(T270="",V270="")),"Record outcome and root cause",IF(AND(P270="",S270="",Settings!$B$4&gt;O270),"Acknowledgment overdue",""))))))))</f>
        <v/>
      </c>
    </row>
    <row r="271" ht="15.75" customHeight="1" s="31">
      <c r="A271" s="44" t="n"/>
      <c r="B271" s="45" t="n"/>
      <c r="C271" s="45" t="n"/>
      <c r="D271" s="44" t="n"/>
      <c r="E271" s="44" t="n"/>
      <c r="F271" s="44" t="n"/>
      <c r="G271" s="44" t="n"/>
      <c r="H271" s="44" t="n"/>
      <c r="I271" s="44" t="n"/>
      <c r="J271" s="44" t="n"/>
      <c r="K271" s="44" t="n"/>
      <c r="L271" s="41">
        <f>IF(B271="","",IF(OR(COUNTIF(Settings!$E$4:$E$9,D271)&gt;0,I271="Yes",J271="Yes",K271="Fair lending allegation"),"Escalated","Standard"))</f>
        <v/>
      </c>
      <c r="M271" s="45" t="n"/>
      <c r="N271" s="45" t="n"/>
      <c r="O271" s="42">
        <f>IF(B271="","",WORKDAY(B271,Settings!$B$7))</f>
        <v/>
      </c>
      <c r="P271" s="45" t="n"/>
      <c r="Q271" s="45" t="n"/>
      <c r="R271" s="42">
        <f>IF(B271="","",IF(Q271&lt;&gt;"",MIN(Q271,IF(L271="Escalated",B271+Settings!$B$9,WORKDAY(B271,Settings!$B$8))),IF(L271="Escalated",B271+Settings!$B$9,WORKDAY(B271,Settings!$B$8))))</f>
        <v/>
      </c>
      <c r="S271" s="45" t="n"/>
      <c r="T271" s="44" t="n"/>
      <c r="U271" s="46" t="n"/>
      <c r="V271" s="44" t="n"/>
      <c r="W271" s="44" t="n"/>
      <c r="X271" s="44" t="n"/>
      <c r="Y271" s="41">
        <f>IF(B271="","",IF(S271&lt;&gt;"",S271,Settings!$B$4)-B271)</f>
        <v/>
      </c>
      <c r="Z271" s="41">
        <f>IF(B271="","",IF(S271&lt;&gt;"",IF(S271&gt;R271,"Closed late","Closed on time"),IF(Settings!$B$4&gt;R271,"Open: overdue","Open")))</f>
        <v/>
      </c>
      <c r="AA271" s="41">
        <f>IF(B271="","",IF(NETWORKDAYS(B271,C271)-1&gt;Settings!$B$5,"Logged late",IF(AND(L271="Escalated",M271=""),"Escalate to Compliance",IF(AND(L271="Escalated",N271=""),"Notify Sponsor Bank",IF(AND(L271="Escalated",N271&lt;&gt;"",NETWORKDAYS(B271,N271)-1&gt;Settings!$B$10),"Sponsor Bank notified late",IF(AND(K271&lt;&gt;"",K271&lt;&gt;"None",Q271=""),"Enter the legal deadline",IF(AND(S271&lt;&gt;"",OR(T271="",V271="")),"Record outcome and root cause",IF(AND(P271="",S271="",Settings!$B$4&gt;O271),"Acknowledgment overdue",""))))))))</f>
        <v/>
      </c>
    </row>
    <row r="272" ht="15.75" customHeight="1" s="31">
      <c r="A272" s="44" t="n"/>
      <c r="B272" s="45" t="n"/>
      <c r="C272" s="45" t="n"/>
      <c r="D272" s="44" t="n"/>
      <c r="E272" s="44" t="n"/>
      <c r="F272" s="44" t="n"/>
      <c r="G272" s="44" t="n"/>
      <c r="H272" s="44" t="n"/>
      <c r="I272" s="44" t="n"/>
      <c r="J272" s="44" t="n"/>
      <c r="K272" s="44" t="n"/>
      <c r="L272" s="41">
        <f>IF(B272="","",IF(OR(COUNTIF(Settings!$E$4:$E$9,D272)&gt;0,I272="Yes",J272="Yes",K272="Fair lending allegation"),"Escalated","Standard"))</f>
        <v/>
      </c>
      <c r="M272" s="45" t="n"/>
      <c r="N272" s="45" t="n"/>
      <c r="O272" s="42">
        <f>IF(B272="","",WORKDAY(B272,Settings!$B$7))</f>
        <v/>
      </c>
      <c r="P272" s="45" t="n"/>
      <c r="Q272" s="45" t="n"/>
      <c r="R272" s="42">
        <f>IF(B272="","",IF(Q272&lt;&gt;"",MIN(Q272,IF(L272="Escalated",B272+Settings!$B$9,WORKDAY(B272,Settings!$B$8))),IF(L272="Escalated",B272+Settings!$B$9,WORKDAY(B272,Settings!$B$8))))</f>
        <v/>
      </c>
      <c r="S272" s="45" t="n"/>
      <c r="T272" s="44" t="n"/>
      <c r="U272" s="46" t="n"/>
      <c r="V272" s="44" t="n"/>
      <c r="W272" s="44" t="n"/>
      <c r="X272" s="44" t="n"/>
      <c r="Y272" s="41">
        <f>IF(B272="","",IF(S272&lt;&gt;"",S272,Settings!$B$4)-B272)</f>
        <v/>
      </c>
      <c r="Z272" s="41">
        <f>IF(B272="","",IF(S272&lt;&gt;"",IF(S272&gt;R272,"Closed late","Closed on time"),IF(Settings!$B$4&gt;R272,"Open: overdue","Open")))</f>
        <v/>
      </c>
      <c r="AA272" s="41">
        <f>IF(B272="","",IF(NETWORKDAYS(B272,C272)-1&gt;Settings!$B$5,"Logged late",IF(AND(L272="Escalated",M272=""),"Escalate to Compliance",IF(AND(L272="Escalated",N272=""),"Notify Sponsor Bank",IF(AND(L272="Escalated",N272&lt;&gt;"",NETWORKDAYS(B272,N272)-1&gt;Settings!$B$10),"Sponsor Bank notified late",IF(AND(K272&lt;&gt;"",K272&lt;&gt;"None",Q272=""),"Enter the legal deadline",IF(AND(S272&lt;&gt;"",OR(T272="",V272="")),"Record outcome and root cause",IF(AND(P272="",S272="",Settings!$B$4&gt;O272),"Acknowledgment overdue",""))))))))</f>
        <v/>
      </c>
    </row>
    <row r="273" ht="15.75" customHeight="1" s="31">
      <c r="A273" s="44" t="n"/>
      <c r="B273" s="45" t="n"/>
      <c r="C273" s="45" t="n"/>
      <c r="D273" s="44" t="n"/>
      <c r="E273" s="44" t="n"/>
      <c r="F273" s="44" t="n"/>
      <c r="G273" s="44" t="n"/>
      <c r="H273" s="44" t="n"/>
      <c r="I273" s="44" t="n"/>
      <c r="J273" s="44" t="n"/>
      <c r="K273" s="44" t="n"/>
      <c r="L273" s="41">
        <f>IF(B273="","",IF(OR(COUNTIF(Settings!$E$4:$E$9,D273)&gt;0,I273="Yes",J273="Yes",K273="Fair lending allegation"),"Escalated","Standard"))</f>
        <v/>
      </c>
      <c r="M273" s="45" t="n"/>
      <c r="N273" s="45" t="n"/>
      <c r="O273" s="42">
        <f>IF(B273="","",WORKDAY(B273,Settings!$B$7))</f>
        <v/>
      </c>
      <c r="P273" s="45" t="n"/>
      <c r="Q273" s="45" t="n"/>
      <c r="R273" s="42">
        <f>IF(B273="","",IF(Q273&lt;&gt;"",MIN(Q273,IF(L273="Escalated",B273+Settings!$B$9,WORKDAY(B273,Settings!$B$8))),IF(L273="Escalated",B273+Settings!$B$9,WORKDAY(B273,Settings!$B$8))))</f>
        <v/>
      </c>
      <c r="S273" s="45" t="n"/>
      <c r="T273" s="44" t="n"/>
      <c r="U273" s="46" t="n"/>
      <c r="V273" s="44" t="n"/>
      <c r="W273" s="44" t="n"/>
      <c r="X273" s="44" t="n"/>
      <c r="Y273" s="41">
        <f>IF(B273="","",IF(S273&lt;&gt;"",S273,Settings!$B$4)-B273)</f>
        <v/>
      </c>
      <c r="Z273" s="41">
        <f>IF(B273="","",IF(S273&lt;&gt;"",IF(S273&gt;R273,"Closed late","Closed on time"),IF(Settings!$B$4&gt;R273,"Open: overdue","Open")))</f>
        <v/>
      </c>
      <c r="AA273" s="41">
        <f>IF(B273="","",IF(NETWORKDAYS(B273,C273)-1&gt;Settings!$B$5,"Logged late",IF(AND(L273="Escalated",M273=""),"Escalate to Compliance",IF(AND(L273="Escalated",N273=""),"Notify Sponsor Bank",IF(AND(L273="Escalated",N273&lt;&gt;"",NETWORKDAYS(B273,N273)-1&gt;Settings!$B$10),"Sponsor Bank notified late",IF(AND(K273&lt;&gt;"",K273&lt;&gt;"None",Q273=""),"Enter the legal deadline",IF(AND(S273&lt;&gt;"",OR(T273="",V273="")),"Record outcome and root cause",IF(AND(P273="",S273="",Settings!$B$4&gt;O273),"Acknowledgment overdue",""))))))))</f>
        <v/>
      </c>
    </row>
    <row r="274" ht="15.75" customHeight="1" s="31">
      <c r="A274" s="44" t="n"/>
      <c r="B274" s="45" t="n"/>
      <c r="C274" s="45" t="n"/>
      <c r="D274" s="44" t="n"/>
      <c r="E274" s="44" t="n"/>
      <c r="F274" s="44" t="n"/>
      <c r="G274" s="44" t="n"/>
      <c r="H274" s="44" t="n"/>
      <c r="I274" s="44" t="n"/>
      <c r="J274" s="44" t="n"/>
      <c r="K274" s="44" t="n"/>
      <c r="L274" s="41">
        <f>IF(B274="","",IF(OR(COUNTIF(Settings!$E$4:$E$9,D274)&gt;0,I274="Yes",J274="Yes",K274="Fair lending allegation"),"Escalated","Standard"))</f>
        <v/>
      </c>
      <c r="M274" s="45" t="n"/>
      <c r="N274" s="45" t="n"/>
      <c r="O274" s="42">
        <f>IF(B274="","",WORKDAY(B274,Settings!$B$7))</f>
        <v/>
      </c>
      <c r="P274" s="45" t="n"/>
      <c r="Q274" s="45" t="n"/>
      <c r="R274" s="42">
        <f>IF(B274="","",IF(Q274&lt;&gt;"",MIN(Q274,IF(L274="Escalated",B274+Settings!$B$9,WORKDAY(B274,Settings!$B$8))),IF(L274="Escalated",B274+Settings!$B$9,WORKDAY(B274,Settings!$B$8))))</f>
        <v/>
      </c>
      <c r="S274" s="45" t="n"/>
      <c r="T274" s="44" t="n"/>
      <c r="U274" s="46" t="n"/>
      <c r="V274" s="44" t="n"/>
      <c r="W274" s="44" t="n"/>
      <c r="X274" s="44" t="n"/>
      <c r="Y274" s="41">
        <f>IF(B274="","",IF(S274&lt;&gt;"",S274,Settings!$B$4)-B274)</f>
        <v/>
      </c>
      <c r="Z274" s="41">
        <f>IF(B274="","",IF(S274&lt;&gt;"",IF(S274&gt;R274,"Closed late","Closed on time"),IF(Settings!$B$4&gt;R274,"Open: overdue","Open")))</f>
        <v/>
      </c>
      <c r="AA274" s="41">
        <f>IF(B274="","",IF(NETWORKDAYS(B274,C274)-1&gt;Settings!$B$5,"Logged late",IF(AND(L274="Escalated",M274=""),"Escalate to Compliance",IF(AND(L274="Escalated",N274=""),"Notify Sponsor Bank",IF(AND(L274="Escalated",N274&lt;&gt;"",NETWORKDAYS(B274,N274)-1&gt;Settings!$B$10),"Sponsor Bank notified late",IF(AND(K274&lt;&gt;"",K274&lt;&gt;"None",Q274=""),"Enter the legal deadline",IF(AND(S274&lt;&gt;"",OR(T274="",V274="")),"Record outcome and root cause",IF(AND(P274="",S274="",Settings!$B$4&gt;O274),"Acknowledgment overdue",""))))))))</f>
        <v/>
      </c>
    </row>
    <row r="275" ht="15.75" customHeight="1" s="31">
      <c r="A275" s="44" t="n"/>
      <c r="B275" s="45" t="n"/>
      <c r="C275" s="45" t="n"/>
      <c r="D275" s="44" t="n"/>
      <c r="E275" s="44" t="n"/>
      <c r="F275" s="44" t="n"/>
      <c r="G275" s="44" t="n"/>
      <c r="H275" s="44" t="n"/>
      <c r="I275" s="44" t="n"/>
      <c r="J275" s="44" t="n"/>
      <c r="K275" s="44" t="n"/>
      <c r="L275" s="41">
        <f>IF(B275="","",IF(OR(COUNTIF(Settings!$E$4:$E$9,D275)&gt;0,I275="Yes",J275="Yes",K275="Fair lending allegation"),"Escalated","Standard"))</f>
        <v/>
      </c>
      <c r="M275" s="45" t="n"/>
      <c r="N275" s="45" t="n"/>
      <c r="O275" s="42">
        <f>IF(B275="","",WORKDAY(B275,Settings!$B$7))</f>
        <v/>
      </c>
      <c r="P275" s="45" t="n"/>
      <c r="Q275" s="45" t="n"/>
      <c r="R275" s="42">
        <f>IF(B275="","",IF(Q275&lt;&gt;"",MIN(Q275,IF(L275="Escalated",B275+Settings!$B$9,WORKDAY(B275,Settings!$B$8))),IF(L275="Escalated",B275+Settings!$B$9,WORKDAY(B275,Settings!$B$8))))</f>
        <v/>
      </c>
      <c r="S275" s="45" t="n"/>
      <c r="T275" s="44" t="n"/>
      <c r="U275" s="46" t="n"/>
      <c r="V275" s="44" t="n"/>
      <c r="W275" s="44" t="n"/>
      <c r="X275" s="44" t="n"/>
      <c r="Y275" s="41">
        <f>IF(B275="","",IF(S275&lt;&gt;"",S275,Settings!$B$4)-B275)</f>
        <v/>
      </c>
      <c r="Z275" s="41">
        <f>IF(B275="","",IF(S275&lt;&gt;"",IF(S275&gt;R275,"Closed late","Closed on time"),IF(Settings!$B$4&gt;R275,"Open: overdue","Open")))</f>
        <v/>
      </c>
      <c r="AA275" s="41">
        <f>IF(B275="","",IF(NETWORKDAYS(B275,C275)-1&gt;Settings!$B$5,"Logged late",IF(AND(L275="Escalated",M275=""),"Escalate to Compliance",IF(AND(L275="Escalated",N275=""),"Notify Sponsor Bank",IF(AND(L275="Escalated",N275&lt;&gt;"",NETWORKDAYS(B275,N275)-1&gt;Settings!$B$10),"Sponsor Bank notified late",IF(AND(K275&lt;&gt;"",K275&lt;&gt;"None",Q275=""),"Enter the legal deadline",IF(AND(S275&lt;&gt;"",OR(T275="",V275="")),"Record outcome and root cause",IF(AND(P275="",S275="",Settings!$B$4&gt;O275),"Acknowledgment overdue",""))))))))</f>
        <v/>
      </c>
    </row>
    <row r="276" ht="15.75" customHeight="1" s="31">
      <c r="A276" s="44" t="n"/>
      <c r="B276" s="45" t="n"/>
      <c r="C276" s="45" t="n"/>
      <c r="D276" s="44" t="n"/>
      <c r="E276" s="44" t="n"/>
      <c r="F276" s="44" t="n"/>
      <c r="G276" s="44" t="n"/>
      <c r="H276" s="44" t="n"/>
      <c r="I276" s="44" t="n"/>
      <c r="J276" s="44" t="n"/>
      <c r="K276" s="44" t="n"/>
      <c r="L276" s="41">
        <f>IF(B276="","",IF(OR(COUNTIF(Settings!$E$4:$E$9,D276)&gt;0,I276="Yes",J276="Yes",K276="Fair lending allegation"),"Escalated","Standard"))</f>
        <v/>
      </c>
      <c r="M276" s="45" t="n"/>
      <c r="N276" s="45" t="n"/>
      <c r="O276" s="42">
        <f>IF(B276="","",WORKDAY(B276,Settings!$B$7))</f>
        <v/>
      </c>
      <c r="P276" s="45" t="n"/>
      <c r="Q276" s="45" t="n"/>
      <c r="R276" s="42">
        <f>IF(B276="","",IF(Q276&lt;&gt;"",MIN(Q276,IF(L276="Escalated",B276+Settings!$B$9,WORKDAY(B276,Settings!$B$8))),IF(L276="Escalated",B276+Settings!$B$9,WORKDAY(B276,Settings!$B$8))))</f>
        <v/>
      </c>
      <c r="S276" s="45" t="n"/>
      <c r="T276" s="44" t="n"/>
      <c r="U276" s="46" t="n"/>
      <c r="V276" s="44" t="n"/>
      <c r="W276" s="44" t="n"/>
      <c r="X276" s="44" t="n"/>
      <c r="Y276" s="41">
        <f>IF(B276="","",IF(S276&lt;&gt;"",S276,Settings!$B$4)-B276)</f>
        <v/>
      </c>
      <c r="Z276" s="41">
        <f>IF(B276="","",IF(S276&lt;&gt;"",IF(S276&gt;R276,"Closed late","Closed on time"),IF(Settings!$B$4&gt;R276,"Open: overdue","Open")))</f>
        <v/>
      </c>
      <c r="AA276" s="41">
        <f>IF(B276="","",IF(NETWORKDAYS(B276,C276)-1&gt;Settings!$B$5,"Logged late",IF(AND(L276="Escalated",M276=""),"Escalate to Compliance",IF(AND(L276="Escalated",N276=""),"Notify Sponsor Bank",IF(AND(L276="Escalated",N276&lt;&gt;"",NETWORKDAYS(B276,N276)-1&gt;Settings!$B$10),"Sponsor Bank notified late",IF(AND(K276&lt;&gt;"",K276&lt;&gt;"None",Q276=""),"Enter the legal deadline",IF(AND(S276&lt;&gt;"",OR(T276="",V276="")),"Record outcome and root cause",IF(AND(P276="",S276="",Settings!$B$4&gt;O276),"Acknowledgment overdue",""))))))))</f>
        <v/>
      </c>
    </row>
    <row r="277" ht="15.75" customHeight="1" s="31">
      <c r="A277" s="44" t="n"/>
      <c r="B277" s="45" t="n"/>
      <c r="C277" s="45" t="n"/>
      <c r="D277" s="44" t="n"/>
      <c r="E277" s="44" t="n"/>
      <c r="F277" s="44" t="n"/>
      <c r="G277" s="44" t="n"/>
      <c r="H277" s="44" t="n"/>
      <c r="I277" s="44" t="n"/>
      <c r="J277" s="44" t="n"/>
      <c r="K277" s="44" t="n"/>
      <c r="L277" s="41">
        <f>IF(B277="","",IF(OR(COUNTIF(Settings!$E$4:$E$9,D277)&gt;0,I277="Yes",J277="Yes",K277="Fair lending allegation"),"Escalated","Standard"))</f>
        <v/>
      </c>
      <c r="M277" s="45" t="n"/>
      <c r="N277" s="45" t="n"/>
      <c r="O277" s="42">
        <f>IF(B277="","",WORKDAY(B277,Settings!$B$7))</f>
        <v/>
      </c>
      <c r="P277" s="45" t="n"/>
      <c r="Q277" s="45" t="n"/>
      <c r="R277" s="42">
        <f>IF(B277="","",IF(Q277&lt;&gt;"",MIN(Q277,IF(L277="Escalated",B277+Settings!$B$9,WORKDAY(B277,Settings!$B$8))),IF(L277="Escalated",B277+Settings!$B$9,WORKDAY(B277,Settings!$B$8))))</f>
        <v/>
      </c>
      <c r="S277" s="45" t="n"/>
      <c r="T277" s="44" t="n"/>
      <c r="U277" s="46" t="n"/>
      <c r="V277" s="44" t="n"/>
      <c r="W277" s="44" t="n"/>
      <c r="X277" s="44" t="n"/>
      <c r="Y277" s="41">
        <f>IF(B277="","",IF(S277&lt;&gt;"",S277,Settings!$B$4)-B277)</f>
        <v/>
      </c>
      <c r="Z277" s="41">
        <f>IF(B277="","",IF(S277&lt;&gt;"",IF(S277&gt;R277,"Closed late","Closed on time"),IF(Settings!$B$4&gt;R277,"Open: overdue","Open")))</f>
        <v/>
      </c>
      <c r="AA277" s="41">
        <f>IF(B277="","",IF(NETWORKDAYS(B277,C277)-1&gt;Settings!$B$5,"Logged late",IF(AND(L277="Escalated",M277=""),"Escalate to Compliance",IF(AND(L277="Escalated",N277=""),"Notify Sponsor Bank",IF(AND(L277="Escalated",N277&lt;&gt;"",NETWORKDAYS(B277,N277)-1&gt;Settings!$B$10),"Sponsor Bank notified late",IF(AND(K277&lt;&gt;"",K277&lt;&gt;"None",Q277=""),"Enter the legal deadline",IF(AND(S277&lt;&gt;"",OR(T277="",V277="")),"Record outcome and root cause",IF(AND(P277="",S277="",Settings!$B$4&gt;O277),"Acknowledgment overdue",""))))))))</f>
        <v/>
      </c>
    </row>
    <row r="278" ht="15.75" customHeight="1" s="31">
      <c r="A278" s="44" t="n"/>
      <c r="B278" s="45" t="n"/>
      <c r="C278" s="45" t="n"/>
      <c r="D278" s="44" t="n"/>
      <c r="E278" s="44" t="n"/>
      <c r="F278" s="44" t="n"/>
      <c r="G278" s="44" t="n"/>
      <c r="H278" s="44" t="n"/>
      <c r="I278" s="44" t="n"/>
      <c r="J278" s="44" t="n"/>
      <c r="K278" s="44" t="n"/>
      <c r="L278" s="41">
        <f>IF(B278="","",IF(OR(COUNTIF(Settings!$E$4:$E$9,D278)&gt;0,I278="Yes",J278="Yes",K278="Fair lending allegation"),"Escalated","Standard"))</f>
        <v/>
      </c>
      <c r="M278" s="45" t="n"/>
      <c r="N278" s="45" t="n"/>
      <c r="O278" s="42">
        <f>IF(B278="","",WORKDAY(B278,Settings!$B$7))</f>
        <v/>
      </c>
      <c r="P278" s="45" t="n"/>
      <c r="Q278" s="45" t="n"/>
      <c r="R278" s="42">
        <f>IF(B278="","",IF(Q278&lt;&gt;"",MIN(Q278,IF(L278="Escalated",B278+Settings!$B$9,WORKDAY(B278,Settings!$B$8))),IF(L278="Escalated",B278+Settings!$B$9,WORKDAY(B278,Settings!$B$8))))</f>
        <v/>
      </c>
      <c r="S278" s="45" t="n"/>
      <c r="T278" s="44" t="n"/>
      <c r="U278" s="46" t="n"/>
      <c r="V278" s="44" t="n"/>
      <c r="W278" s="44" t="n"/>
      <c r="X278" s="44" t="n"/>
      <c r="Y278" s="41">
        <f>IF(B278="","",IF(S278&lt;&gt;"",S278,Settings!$B$4)-B278)</f>
        <v/>
      </c>
      <c r="Z278" s="41">
        <f>IF(B278="","",IF(S278&lt;&gt;"",IF(S278&gt;R278,"Closed late","Closed on time"),IF(Settings!$B$4&gt;R278,"Open: overdue","Open")))</f>
        <v/>
      </c>
      <c r="AA278" s="41">
        <f>IF(B278="","",IF(NETWORKDAYS(B278,C278)-1&gt;Settings!$B$5,"Logged late",IF(AND(L278="Escalated",M278=""),"Escalate to Compliance",IF(AND(L278="Escalated",N278=""),"Notify Sponsor Bank",IF(AND(L278="Escalated",N278&lt;&gt;"",NETWORKDAYS(B278,N278)-1&gt;Settings!$B$10),"Sponsor Bank notified late",IF(AND(K278&lt;&gt;"",K278&lt;&gt;"None",Q278=""),"Enter the legal deadline",IF(AND(S278&lt;&gt;"",OR(T278="",V278="")),"Record outcome and root cause",IF(AND(P278="",S278="",Settings!$B$4&gt;O278),"Acknowledgment overdue",""))))))))</f>
        <v/>
      </c>
    </row>
    <row r="279" ht="15.75" customHeight="1" s="31">
      <c r="A279" s="44" t="n"/>
      <c r="B279" s="45" t="n"/>
      <c r="C279" s="45" t="n"/>
      <c r="D279" s="44" t="n"/>
      <c r="E279" s="44" t="n"/>
      <c r="F279" s="44" t="n"/>
      <c r="G279" s="44" t="n"/>
      <c r="H279" s="44" t="n"/>
      <c r="I279" s="44" t="n"/>
      <c r="J279" s="44" t="n"/>
      <c r="K279" s="44" t="n"/>
      <c r="L279" s="41">
        <f>IF(B279="","",IF(OR(COUNTIF(Settings!$E$4:$E$9,D279)&gt;0,I279="Yes",J279="Yes",K279="Fair lending allegation"),"Escalated","Standard"))</f>
        <v/>
      </c>
      <c r="M279" s="45" t="n"/>
      <c r="N279" s="45" t="n"/>
      <c r="O279" s="42">
        <f>IF(B279="","",WORKDAY(B279,Settings!$B$7))</f>
        <v/>
      </c>
      <c r="P279" s="45" t="n"/>
      <c r="Q279" s="45" t="n"/>
      <c r="R279" s="42">
        <f>IF(B279="","",IF(Q279&lt;&gt;"",MIN(Q279,IF(L279="Escalated",B279+Settings!$B$9,WORKDAY(B279,Settings!$B$8))),IF(L279="Escalated",B279+Settings!$B$9,WORKDAY(B279,Settings!$B$8))))</f>
        <v/>
      </c>
      <c r="S279" s="45" t="n"/>
      <c r="T279" s="44" t="n"/>
      <c r="U279" s="46" t="n"/>
      <c r="V279" s="44" t="n"/>
      <c r="W279" s="44" t="n"/>
      <c r="X279" s="44" t="n"/>
      <c r="Y279" s="41">
        <f>IF(B279="","",IF(S279&lt;&gt;"",S279,Settings!$B$4)-B279)</f>
        <v/>
      </c>
      <c r="Z279" s="41">
        <f>IF(B279="","",IF(S279&lt;&gt;"",IF(S279&gt;R279,"Closed late","Closed on time"),IF(Settings!$B$4&gt;R279,"Open: overdue","Open")))</f>
        <v/>
      </c>
      <c r="AA279" s="41">
        <f>IF(B279="","",IF(NETWORKDAYS(B279,C279)-1&gt;Settings!$B$5,"Logged late",IF(AND(L279="Escalated",M279=""),"Escalate to Compliance",IF(AND(L279="Escalated",N279=""),"Notify Sponsor Bank",IF(AND(L279="Escalated",N279&lt;&gt;"",NETWORKDAYS(B279,N279)-1&gt;Settings!$B$10),"Sponsor Bank notified late",IF(AND(K279&lt;&gt;"",K279&lt;&gt;"None",Q279=""),"Enter the legal deadline",IF(AND(S279&lt;&gt;"",OR(T279="",V279="")),"Record outcome and root cause",IF(AND(P279="",S279="",Settings!$B$4&gt;O279),"Acknowledgment overdue",""))))))))</f>
        <v/>
      </c>
    </row>
    <row r="280" ht="15.75" customHeight="1" s="31">
      <c r="A280" s="44" t="n"/>
      <c r="B280" s="45" t="n"/>
      <c r="C280" s="45" t="n"/>
      <c r="D280" s="44" t="n"/>
      <c r="E280" s="44" t="n"/>
      <c r="F280" s="44" t="n"/>
      <c r="G280" s="44" t="n"/>
      <c r="H280" s="44" t="n"/>
      <c r="I280" s="44" t="n"/>
      <c r="J280" s="44" t="n"/>
      <c r="K280" s="44" t="n"/>
      <c r="L280" s="41">
        <f>IF(B280="","",IF(OR(COUNTIF(Settings!$E$4:$E$9,D280)&gt;0,I280="Yes",J280="Yes",K280="Fair lending allegation"),"Escalated","Standard"))</f>
        <v/>
      </c>
      <c r="M280" s="45" t="n"/>
      <c r="N280" s="45" t="n"/>
      <c r="O280" s="42">
        <f>IF(B280="","",WORKDAY(B280,Settings!$B$7))</f>
        <v/>
      </c>
      <c r="P280" s="45" t="n"/>
      <c r="Q280" s="45" t="n"/>
      <c r="R280" s="42">
        <f>IF(B280="","",IF(Q280&lt;&gt;"",MIN(Q280,IF(L280="Escalated",B280+Settings!$B$9,WORKDAY(B280,Settings!$B$8))),IF(L280="Escalated",B280+Settings!$B$9,WORKDAY(B280,Settings!$B$8))))</f>
        <v/>
      </c>
      <c r="S280" s="45" t="n"/>
      <c r="T280" s="44" t="n"/>
      <c r="U280" s="46" t="n"/>
      <c r="V280" s="44" t="n"/>
      <c r="W280" s="44" t="n"/>
      <c r="X280" s="44" t="n"/>
      <c r="Y280" s="41">
        <f>IF(B280="","",IF(S280&lt;&gt;"",S280,Settings!$B$4)-B280)</f>
        <v/>
      </c>
      <c r="Z280" s="41">
        <f>IF(B280="","",IF(S280&lt;&gt;"",IF(S280&gt;R280,"Closed late","Closed on time"),IF(Settings!$B$4&gt;R280,"Open: overdue","Open")))</f>
        <v/>
      </c>
      <c r="AA280" s="41">
        <f>IF(B280="","",IF(NETWORKDAYS(B280,C280)-1&gt;Settings!$B$5,"Logged late",IF(AND(L280="Escalated",M280=""),"Escalate to Compliance",IF(AND(L280="Escalated",N280=""),"Notify Sponsor Bank",IF(AND(L280="Escalated",N280&lt;&gt;"",NETWORKDAYS(B280,N280)-1&gt;Settings!$B$10),"Sponsor Bank notified late",IF(AND(K280&lt;&gt;"",K280&lt;&gt;"None",Q280=""),"Enter the legal deadline",IF(AND(S280&lt;&gt;"",OR(T280="",V280="")),"Record outcome and root cause",IF(AND(P280="",S280="",Settings!$B$4&gt;O280),"Acknowledgment overdue",""))))))))</f>
        <v/>
      </c>
    </row>
    <row r="281" ht="15.75" customHeight="1" s="31">
      <c r="A281" s="44" t="n"/>
      <c r="B281" s="45" t="n"/>
      <c r="C281" s="45" t="n"/>
      <c r="D281" s="44" t="n"/>
      <c r="E281" s="44" t="n"/>
      <c r="F281" s="44" t="n"/>
      <c r="G281" s="44" t="n"/>
      <c r="H281" s="44" t="n"/>
      <c r="I281" s="44" t="n"/>
      <c r="J281" s="44" t="n"/>
      <c r="K281" s="44" t="n"/>
      <c r="L281" s="41">
        <f>IF(B281="","",IF(OR(COUNTIF(Settings!$E$4:$E$9,D281)&gt;0,I281="Yes",J281="Yes",K281="Fair lending allegation"),"Escalated","Standard"))</f>
        <v/>
      </c>
      <c r="M281" s="45" t="n"/>
      <c r="N281" s="45" t="n"/>
      <c r="O281" s="42">
        <f>IF(B281="","",WORKDAY(B281,Settings!$B$7))</f>
        <v/>
      </c>
      <c r="P281" s="45" t="n"/>
      <c r="Q281" s="45" t="n"/>
      <c r="R281" s="42">
        <f>IF(B281="","",IF(Q281&lt;&gt;"",MIN(Q281,IF(L281="Escalated",B281+Settings!$B$9,WORKDAY(B281,Settings!$B$8))),IF(L281="Escalated",B281+Settings!$B$9,WORKDAY(B281,Settings!$B$8))))</f>
        <v/>
      </c>
      <c r="S281" s="45" t="n"/>
      <c r="T281" s="44" t="n"/>
      <c r="U281" s="46" t="n"/>
      <c r="V281" s="44" t="n"/>
      <c r="W281" s="44" t="n"/>
      <c r="X281" s="44" t="n"/>
      <c r="Y281" s="41">
        <f>IF(B281="","",IF(S281&lt;&gt;"",S281,Settings!$B$4)-B281)</f>
        <v/>
      </c>
      <c r="Z281" s="41">
        <f>IF(B281="","",IF(S281&lt;&gt;"",IF(S281&gt;R281,"Closed late","Closed on time"),IF(Settings!$B$4&gt;R281,"Open: overdue","Open")))</f>
        <v/>
      </c>
      <c r="AA281" s="41">
        <f>IF(B281="","",IF(NETWORKDAYS(B281,C281)-1&gt;Settings!$B$5,"Logged late",IF(AND(L281="Escalated",M281=""),"Escalate to Compliance",IF(AND(L281="Escalated",N281=""),"Notify Sponsor Bank",IF(AND(L281="Escalated",N281&lt;&gt;"",NETWORKDAYS(B281,N281)-1&gt;Settings!$B$10),"Sponsor Bank notified late",IF(AND(K281&lt;&gt;"",K281&lt;&gt;"None",Q281=""),"Enter the legal deadline",IF(AND(S281&lt;&gt;"",OR(T281="",V281="")),"Record outcome and root cause",IF(AND(P281="",S281="",Settings!$B$4&gt;O281),"Acknowledgment overdue",""))))))))</f>
        <v/>
      </c>
    </row>
    <row r="282" ht="15.75" customHeight="1" s="31">
      <c r="A282" s="44" t="n"/>
      <c r="B282" s="45" t="n"/>
      <c r="C282" s="45" t="n"/>
      <c r="D282" s="44" t="n"/>
      <c r="E282" s="44" t="n"/>
      <c r="F282" s="44" t="n"/>
      <c r="G282" s="44" t="n"/>
      <c r="H282" s="44" t="n"/>
      <c r="I282" s="44" t="n"/>
      <c r="J282" s="44" t="n"/>
      <c r="K282" s="44" t="n"/>
      <c r="L282" s="41">
        <f>IF(B282="","",IF(OR(COUNTIF(Settings!$E$4:$E$9,D282)&gt;0,I282="Yes",J282="Yes",K282="Fair lending allegation"),"Escalated","Standard"))</f>
        <v/>
      </c>
      <c r="M282" s="45" t="n"/>
      <c r="N282" s="45" t="n"/>
      <c r="O282" s="42">
        <f>IF(B282="","",WORKDAY(B282,Settings!$B$7))</f>
        <v/>
      </c>
      <c r="P282" s="45" t="n"/>
      <c r="Q282" s="45" t="n"/>
      <c r="R282" s="42">
        <f>IF(B282="","",IF(Q282&lt;&gt;"",MIN(Q282,IF(L282="Escalated",B282+Settings!$B$9,WORKDAY(B282,Settings!$B$8))),IF(L282="Escalated",B282+Settings!$B$9,WORKDAY(B282,Settings!$B$8))))</f>
        <v/>
      </c>
      <c r="S282" s="45" t="n"/>
      <c r="T282" s="44" t="n"/>
      <c r="U282" s="46" t="n"/>
      <c r="V282" s="44" t="n"/>
      <c r="W282" s="44" t="n"/>
      <c r="X282" s="44" t="n"/>
      <c r="Y282" s="41">
        <f>IF(B282="","",IF(S282&lt;&gt;"",S282,Settings!$B$4)-B282)</f>
        <v/>
      </c>
      <c r="Z282" s="41">
        <f>IF(B282="","",IF(S282&lt;&gt;"",IF(S282&gt;R282,"Closed late","Closed on time"),IF(Settings!$B$4&gt;R282,"Open: overdue","Open")))</f>
        <v/>
      </c>
      <c r="AA282" s="41">
        <f>IF(B282="","",IF(NETWORKDAYS(B282,C282)-1&gt;Settings!$B$5,"Logged late",IF(AND(L282="Escalated",M282=""),"Escalate to Compliance",IF(AND(L282="Escalated",N282=""),"Notify Sponsor Bank",IF(AND(L282="Escalated",N282&lt;&gt;"",NETWORKDAYS(B282,N282)-1&gt;Settings!$B$10),"Sponsor Bank notified late",IF(AND(K282&lt;&gt;"",K282&lt;&gt;"None",Q282=""),"Enter the legal deadline",IF(AND(S282&lt;&gt;"",OR(T282="",V282="")),"Record outcome and root cause",IF(AND(P282="",S282="",Settings!$B$4&gt;O282),"Acknowledgment overdue",""))))))))</f>
        <v/>
      </c>
    </row>
    <row r="283" ht="15.75" customHeight="1" s="31">
      <c r="A283" s="44" t="n"/>
      <c r="B283" s="45" t="n"/>
      <c r="C283" s="45" t="n"/>
      <c r="D283" s="44" t="n"/>
      <c r="E283" s="44" t="n"/>
      <c r="F283" s="44" t="n"/>
      <c r="G283" s="44" t="n"/>
      <c r="H283" s="44" t="n"/>
      <c r="I283" s="44" t="n"/>
      <c r="J283" s="44" t="n"/>
      <c r="K283" s="44" t="n"/>
      <c r="L283" s="41">
        <f>IF(B283="","",IF(OR(COUNTIF(Settings!$E$4:$E$9,D283)&gt;0,I283="Yes",J283="Yes",K283="Fair lending allegation"),"Escalated","Standard"))</f>
        <v/>
      </c>
      <c r="M283" s="45" t="n"/>
      <c r="N283" s="45" t="n"/>
      <c r="O283" s="42">
        <f>IF(B283="","",WORKDAY(B283,Settings!$B$7))</f>
        <v/>
      </c>
      <c r="P283" s="45" t="n"/>
      <c r="Q283" s="45" t="n"/>
      <c r="R283" s="42">
        <f>IF(B283="","",IF(Q283&lt;&gt;"",MIN(Q283,IF(L283="Escalated",B283+Settings!$B$9,WORKDAY(B283,Settings!$B$8))),IF(L283="Escalated",B283+Settings!$B$9,WORKDAY(B283,Settings!$B$8))))</f>
        <v/>
      </c>
      <c r="S283" s="45" t="n"/>
      <c r="T283" s="44" t="n"/>
      <c r="U283" s="46" t="n"/>
      <c r="V283" s="44" t="n"/>
      <c r="W283" s="44" t="n"/>
      <c r="X283" s="44" t="n"/>
      <c r="Y283" s="41">
        <f>IF(B283="","",IF(S283&lt;&gt;"",S283,Settings!$B$4)-B283)</f>
        <v/>
      </c>
      <c r="Z283" s="41">
        <f>IF(B283="","",IF(S283&lt;&gt;"",IF(S283&gt;R283,"Closed late","Closed on time"),IF(Settings!$B$4&gt;R283,"Open: overdue","Open")))</f>
        <v/>
      </c>
      <c r="AA283" s="41">
        <f>IF(B283="","",IF(NETWORKDAYS(B283,C283)-1&gt;Settings!$B$5,"Logged late",IF(AND(L283="Escalated",M283=""),"Escalate to Compliance",IF(AND(L283="Escalated",N283=""),"Notify Sponsor Bank",IF(AND(L283="Escalated",N283&lt;&gt;"",NETWORKDAYS(B283,N283)-1&gt;Settings!$B$10),"Sponsor Bank notified late",IF(AND(K283&lt;&gt;"",K283&lt;&gt;"None",Q283=""),"Enter the legal deadline",IF(AND(S283&lt;&gt;"",OR(T283="",V283="")),"Record outcome and root cause",IF(AND(P283="",S283="",Settings!$B$4&gt;O283),"Acknowledgment overdue",""))))))))</f>
        <v/>
      </c>
    </row>
    <row r="284" ht="15.75" customHeight="1" s="31">
      <c r="A284" s="44" t="n"/>
      <c r="B284" s="45" t="n"/>
      <c r="C284" s="45" t="n"/>
      <c r="D284" s="44" t="n"/>
      <c r="E284" s="44" t="n"/>
      <c r="F284" s="44" t="n"/>
      <c r="G284" s="44" t="n"/>
      <c r="H284" s="44" t="n"/>
      <c r="I284" s="44" t="n"/>
      <c r="J284" s="44" t="n"/>
      <c r="K284" s="44" t="n"/>
      <c r="L284" s="41">
        <f>IF(B284="","",IF(OR(COUNTIF(Settings!$E$4:$E$9,D284)&gt;0,I284="Yes",J284="Yes",K284="Fair lending allegation"),"Escalated","Standard"))</f>
        <v/>
      </c>
      <c r="M284" s="45" t="n"/>
      <c r="N284" s="45" t="n"/>
      <c r="O284" s="42">
        <f>IF(B284="","",WORKDAY(B284,Settings!$B$7))</f>
        <v/>
      </c>
      <c r="P284" s="45" t="n"/>
      <c r="Q284" s="45" t="n"/>
      <c r="R284" s="42">
        <f>IF(B284="","",IF(Q284&lt;&gt;"",MIN(Q284,IF(L284="Escalated",B284+Settings!$B$9,WORKDAY(B284,Settings!$B$8))),IF(L284="Escalated",B284+Settings!$B$9,WORKDAY(B284,Settings!$B$8))))</f>
        <v/>
      </c>
      <c r="S284" s="45" t="n"/>
      <c r="T284" s="44" t="n"/>
      <c r="U284" s="46" t="n"/>
      <c r="V284" s="44" t="n"/>
      <c r="W284" s="44" t="n"/>
      <c r="X284" s="44" t="n"/>
      <c r="Y284" s="41">
        <f>IF(B284="","",IF(S284&lt;&gt;"",S284,Settings!$B$4)-B284)</f>
        <v/>
      </c>
      <c r="Z284" s="41">
        <f>IF(B284="","",IF(S284&lt;&gt;"",IF(S284&gt;R284,"Closed late","Closed on time"),IF(Settings!$B$4&gt;R284,"Open: overdue","Open")))</f>
        <v/>
      </c>
      <c r="AA284" s="41">
        <f>IF(B284="","",IF(NETWORKDAYS(B284,C284)-1&gt;Settings!$B$5,"Logged late",IF(AND(L284="Escalated",M284=""),"Escalate to Compliance",IF(AND(L284="Escalated",N284=""),"Notify Sponsor Bank",IF(AND(L284="Escalated",N284&lt;&gt;"",NETWORKDAYS(B284,N284)-1&gt;Settings!$B$10),"Sponsor Bank notified late",IF(AND(K284&lt;&gt;"",K284&lt;&gt;"None",Q284=""),"Enter the legal deadline",IF(AND(S284&lt;&gt;"",OR(T284="",V284="")),"Record outcome and root cause",IF(AND(P284="",S284="",Settings!$B$4&gt;O284),"Acknowledgment overdue",""))))))))</f>
        <v/>
      </c>
    </row>
    <row r="285" ht="15.75" customHeight="1" s="31">
      <c r="A285" s="44" t="n"/>
      <c r="B285" s="45" t="n"/>
      <c r="C285" s="45" t="n"/>
      <c r="D285" s="44" t="n"/>
      <c r="E285" s="44" t="n"/>
      <c r="F285" s="44" t="n"/>
      <c r="G285" s="44" t="n"/>
      <c r="H285" s="44" t="n"/>
      <c r="I285" s="44" t="n"/>
      <c r="J285" s="44" t="n"/>
      <c r="K285" s="44" t="n"/>
      <c r="L285" s="41">
        <f>IF(B285="","",IF(OR(COUNTIF(Settings!$E$4:$E$9,D285)&gt;0,I285="Yes",J285="Yes",K285="Fair lending allegation"),"Escalated","Standard"))</f>
        <v/>
      </c>
      <c r="M285" s="45" t="n"/>
      <c r="N285" s="45" t="n"/>
      <c r="O285" s="42">
        <f>IF(B285="","",WORKDAY(B285,Settings!$B$7))</f>
        <v/>
      </c>
      <c r="P285" s="45" t="n"/>
      <c r="Q285" s="45" t="n"/>
      <c r="R285" s="42">
        <f>IF(B285="","",IF(Q285&lt;&gt;"",MIN(Q285,IF(L285="Escalated",B285+Settings!$B$9,WORKDAY(B285,Settings!$B$8))),IF(L285="Escalated",B285+Settings!$B$9,WORKDAY(B285,Settings!$B$8))))</f>
        <v/>
      </c>
      <c r="S285" s="45" t="n"/>
      <c r="T285" s="44" t="n"/>
      <c r="U285" s="46" t="n"/>
      <c r="V285" s="44" t="n"/>
      <c r="W285" s="44" t="n"/>
      <c r="X285" s="44" t="n"/>
      <c r="Y285" s="41">
        <f>IF(B285="","",IF(S285&lt;&gt;"",S285,Settings!$B$4)-B285)</f>
        <v/>
      </c>
      <c r="Z285" s="41">
        <f>IF(B285="","",IF(S285&lt;&gt;"",IF(S285&gt;R285,"Closed late","Closed on time"),IF(Settings!$B$4&gt;R285,"Open: overdue","Open")))</f>
        <v/>
      </c>
      <c r="AA285" s="41">
        <f>IF(B285="","",IF(NETWORKDAYS(B285,C285)-1&gt;Settings!$B$5,"Logged late",IF(AND(L285="Escalated",M285=""),"Escalate to Compliance",IF(AND(L285="Escalated",N285=""),"Notify Sponsor Bank",IF(AND(L285="Escalated",N285&lt;&gt;"",NETWORKDAYS(B285,N285)-1&gt;Settings!$B$10),"Sponsor Bank notified late",IF(AND(K285&lt;&gt;"",K285&lt;&gt;"None",Q285=""),"Enter the legal deadline",IF(AND(S285&lt;&gt;"",OR(T285="",V285="")),"Record outcome and root cause",IF(AND(P285="",S285="",Settings!$B$4&gt;O285),"Acknowledgment overdue",""))))))))</f>
        <v/>
      </c>
    </row>
    <row r="286" ht="15.75" customHeight="1" s="31">
      <c r="A286" s="44" t="n"/>
      <c r="B286" s="45" t="n"/>
      <c r="C286" s="45" t="n"/>
      <c r="D286" s="44" t="n"/>
      <c r="E286" s="44" t="n"/>
      <c r="F286" s="44" t="n"/>
      <c r="G286" s="44" t="n"/>
      <c r="H286" s="44" t="n"/>
      <c r="I286" s="44" t="n"/>
      <c r="J286" s="44" t="n"/>
      <c r="K286" s="44" t="n"/>
      <c r="L286" s="41">
        <f>IF(B286="","",IF(OR(COUNTIF(Settings!$E$4:$E$9,D286)&gt;0,I286="Yes",J286="Yes",K286="Fair lending allegation"),"Escalated","Standard"))</f>
        <v/>
      </c>
      <c r="M286" s="45" t="n"/>
      <c r="N286" s="45" t="n"/>
      <c r="O286" s="42">
        <f>IF(B286="","",WORKDAY(B286,Settings!$B$7))</f>
        <v/>
      </c>
      <c r="P286" s="45" t="n"/>
      <c r="Q286" s="45" t="n"/>
      <c r="R286" s="42">
        <f>IF(B286="","",IF(Q286&lt;&gt;"",MIN(Q286,IF(L286="Escalated",B286+Settings!$B$9,WORKDAY(B286,Settings!$B$8))),IF(L286="Escalated",B286+Settings!$B$9,WORKDAY(B286,Settings!$B$8))))</f>
        <v/>
      </c>
      <c r="S286" s="45" t="n"/>
      <c r="T286" s="44" t="n"/>
      <c r="U286" s="46" t="n"/>
      <c r="V286" s="44" t="n"/>
      <c r="W286" s="44" t="n"/>
      <c r="X286" s="44" t="n"/>
      <c r="Y286" s="41">
        <f>IF(B286="","",IF(S286&lt;&gt;"",S286,Settings!$B$4)-B286)</f>
        <v/>
      </c>
      <c r="Z286" s="41">
        <f>IF(B286="","",IF(S286&lt;&gt;"",IF(S286&gt;R286,"Closed late","Closed on time"),IF(Settings!$B$4&gt;R286,"Open: overdue","Open")))</f>
        <v/>
      </c>
      <c r="AA286" s="41">
        <f>IF(B286="","",IF(NETWORKDAYS(B286,C286)-1&gt;Settings!$B$5,"Logged late",IF(AND(L286="Escalated",M286=""),"Escalate to Compliance",IF(AND(L286="Escalated",N286=""),"Notify Sponsor Bank",IF(AND(L286="Escalated",N286&lt;&gt;"",NETWORKDAYS(B286,N286)-1&gt;Settings!$B$10),"Sponsor Bank notified late",IF(AND(K286&lt;&gt;"",K286&lt;&gt;"None",Q286=""),"Enter the legal deadline",IF(AND(S286&lt;&gt;"",OR(T286="",V286="")),"Record outcome and root cause",IF(AND(P286="",S286="",Settings!$B$4&gt;O286),"Acknowledgment overdue",""))))))))</f>
        <v/>
      </c>
    </row>
    <row r="287" ht="15.75" customHeight="1" s="31">
      <c r="A287" s="44" t="n"/>
      <c r="B287" s="45" t="n"/>
      <c r="C287" s="45" t="n"/>
      <c r="D287" s="44" t="n"/>
      <c r="E287" s="44" t="n"/>
      <c r="F287" s="44" t="n"/>
      <c r="G287" s="44" t="n"/>
      <c r="H287" s="44" t="n"/>
      <c r="I287" s="44" t="n"/>
      <c r="J287" s="44" t="n"/>
      <c r="K287" s="44" t="n"/>
      <c r="L287" s="41">
        <f>IF(B287="","",IF(OR(COUNTIF(Settings!$E$4:$E$9,D287)&gt;0,I287="Yes",J287="Yes",K287="Fair lending allegation"),"Escalated","Standard"))</f>
        <v/>
      </c>
      <c r="M287" s="45" t="n"/>
      <c r="N287" s="45" t="n"/>
      <c r="O287" s="42">
        <f>IF(B287="","",WORKDAY(B287,Settings!$B$7))</f>
        <v/>
      </c>
      <c r="P287" s="45" t="n"/>
      <c r="Q287" s="45" t="n"/>
      <c r="R287" s="42">
        <f>IF(B287="","",IF(Q287&lt;&gt;"",MIN(Q287,IF(L287="Escalated",B287+Settings!$B$9,WORKDAY(B287,Settings!$B$8))),IF(L287="Escalated",B287+Settings!$B$9,WORKDAY(B287,Settings!$B$8))))</f>
        <v/>
      </c>
      <c r="S287" s="45" t="n"/>
      <c r="T287" s="44" t="n"/>
      <c r="U287" s="46" t="n"/>
      <c r="V287" s="44" t="n"/>
      <c r="W287" s="44" t="n"/>
      <c r="X287" s="44" t="n"/>
      <c r="Y287" s="41">
        <f>IF(B287="","",IF(S287&lt;&gt;"",S287,Settings!$B$4)-B287)</f>
        <v/>
      </c>
      <c r="Z287" s="41">
        <f>IF(B287="","",IF(S287&lt;&gt;"",IF(S287&gt;R287,"Closed late","Closed on time"),IF(Settings!$B$4&gt;R287,"Open: overdue","Open")))</f>
        <v/>
      </c>
      <c r="AA287" s="41">
        <f>IF(B287="","",IF(NETWORKDAYS(B287,C287)-1&gt;Settings!$B$5,"Logged late",IF(AND(L287="Escalated",M287=""),"Escalate to Compliance",IF(AND(L287="Escalated",N287=""),"Notify Sponsor Bank",IF(AND(L287="Escalated",N287&lt;&gt;"",NETWORKDAYS(B287,N287)-1&gt;Settings!$B$10),"Sponsor Bank notified late",IF(AND(K287&lt;&gt;"",K287&lt;&gt;"None",Q287=""),"Enter the legal deadline",IF(AND(S287&lt;&gt;"",OR(T287="",V287="")),"Record outcome and root cause",IF(AND(P287="",S287="",Settings!$B$4&gt;O287),"Acknowledgment overdue",""))))))))</f>
        <v/>
      </c>
    </row>
    <row r="288" ht="15.75" customHeight="1" s="31">
      <c r="A288" s="44" t="n"/>
      <c r="B288" s="45" t="n"/>
      <c r="C288" s="45" t="n"/>
      <c r="D288" s="44" t="n"/>
      <c r="E288" s="44" t="n"/>
      <c r="F288" s="44" t="n"/>
      <c r="G288" s="44" t="n"/>
      <c r="H288" s="44" t="n"/>
      <c r="I288" s="44" t="n"/>
      <c r="J288" s="44" t="n"/>
      <c r="K288" s="44" t="n"/>
      <c r="L288" s="41">
        <f>IF(B288="","",IF(OR(COUNTIF(Settings!$E$4:$E$9,D288)&gt;0,I288="Yes",J288="Yes",K288="Fair lending allegation"),"Escalated","Standard"))</f>
        <v/>
      </c>
      <c r="M288" s="45" t="n"/>
      <c r="N288" s="45" t="n"/>
      <c r="O288" s="42">
        <f>IF(B288="","",WORKDAY(B288,Settings!$B$7))</f>
        <v/>
      </c>
      <c r="P288" s="45" t="n"/>
      <c r="Q288" s="45" t="n"/>
      <c r="R288" s="42">
        <f>IF(B288="","",IF(Q288&lt;&gt;"",MIN(Q288,IF(L288="Escalated",B288+Settings!$B$9,WORKDAY(B288,Settings!$B$8))),IF(L288="Escalated",B288+Settings!$B$9,WORKDAY(B288,Settings!$B$8))))</f>
        <v/>
      </c>
      <c r="S288" s="45" t="n"/>
      <c r="T288" s="44" t="n"/>
      <c r="U288" s="46" t="n"/>
      <c r="V288" s="44" t="n"/>
      <c r="W288" s="44" t="n"/>
      <c r="X288" s="44" t="n"/>
      <c r="Y288" s="41">
        <f>IF(B288="","",IF(S288&lt;&gt;"",S288,Settings!$B$4)-B288)</f>
        <v/>
      </c>
      <c r="Z288" s="41">
        <f>IF(B288="","",IF(S288&lt;&gt;"",IF(S288&gt;R288,"Closed late","Closed on time"),IF(Settings!$B$4&gt;R288,"Open: overdue","Open")))</f>
        <v/>
      </c>
      <c r="AA288" s="41">
        <f>IF(B288="","",IF(NETWORKDAYS(B288,C288)-1&gt;Settings!$B$5,"Logged late",IF(AND(L288="Escalated",M288=""),"Escalate to Compliance",IF(AND(L288="Escalated",N288=""),"Notify Sponsor Bank",IF(AND(L288="Escalated",N288&lt;&gt;"",NETWORKDAYS(B288,N288)-1&gt;Settings!$B$10),"Sponsor Bank notified late",IF(AND(K288&lt;&gt;"",K288&lt;&gt;"None",Q288=""),"Enter the legal deadline",IF(AND(S288&lt;&gt;"",OR(T288="",V288="")),"Record outcome and root cause",IF(AND(P288="",S288="",Settings!$B$4&gt;O288),"Acknowledgment overdue",""))))))))</f>
        <v/>
      </c>
    </row>
    <row r="289" ht="15.75" customHeight="1" s="31">
      <c r="A289" s="44" t="n"/>
      <c r="B289" s="45" t="n"/>
      <c r="C289" s="45" t="n"/>
      <c r="D289" s="44" t="n"/>
      <c r="E289" s="44" t="n"/>
      <c r="F289" s="44" t="n"/>
      <c r="G289" s="44" t="n"/>
      <c r="H289" s="44" t="n"/>
      <c r="I289" s="44" t="n"/>
      <c r="J289" s="44" t="n"/>
      <c r="K289" s="44" t="n"/>
      <c r="L289" s="41">
        <f>IF(B289="","",IF(OR(COUNTIF(Settings!$E$4:$E$9,D289)&gt;0,I289="Yes",J289="Yes",K289="Fair lending allegation"),"Escalated","Standard"))</f>
        <v/>
      </c>
      <c r="M289" s="45" t="n"/>
      <c r="N289" s="45" t="n"/>
      <c r="O289" s="42">
        <f>IF(B289="","",WORKDAY(B289,Settings!$B$7))</f>
        <v/>
      </c>
      <c r="P289" s="45" t="n"/>
      <c r="Q289" s="45" t="n"/>
      <c r="R289" s="42">
        <f>IF(B289="","",IF(Q289&lt;&gt;"",MIN(Q289,IF(L289="Escalated",B289+Settings!$B$9,WORKDAY(B289,Settings!$B$8))),IF(L289="Escalated",B289+Settings!$B$9,WORKDAY(B289,Settings!$B$8))))</f>
        <v/>
      </c>
      <c r="S289" s="45" t="n"/>
      <c r="T289" s="44" t="n"/>
      <c r="U289" s="46" t="n"/>
      <c r="V289" s="44" t="n"/>
      <c r="W289" s="44" t="n"/>
      <c r="X289" s="44" t="n"/>
      <c r="Y289" s="41">
        <f>IF(B289="","",IF(S289&lt;&gt;"",S289,Settings!$B$4)-B289)</f>
        <v/>
      </c>
      <c r="Z289" s="41">
        <f>IF(B289="","",IF(S289&lt;&gt;"",IF(S289&gt;R289,"Closed late","Closed on time"),IF(Settings!$B$4&gt;R289,"Open: overdue","Open")))</f>
        <v/>
      </c>
      <c r="AA289" s="41">
        <f>IF(B289="","",IF(NETWORKDAYS(B289,C289)-1&gt;Settings!$B$5,"Logged late",IF(AND(L289="Escalated",M289=""),"Escalate to Compliance",IF(AND(L289="Escalated",N289=""),"Notify Sponsor Bank",IF(AND(L289="Escalated",N289&lt;&gt;"",NETWORKDAYS(B289,N289)-1&gt;Settings!$B$10),"Sponsor Bank notified late",IF(AND(K289&lt;&gt;"",K289&lt;&gt;"None",Q289=""),"Enter the legal deadline",IF(AND(S289&lt;&gt;"",OR(T289="",V289="")),"Record outcome and root cause",IF(AND(P289="",S289="",Settings!$B$4&gt;O289),"Acknowledgment overdue",""))))))))</f>
        <v/>
      </c>
    </row>
    <row r="290" ht="15.75" customHeight="1" s="31">
      <c r="A290" s="44" t="n"/>
      <c r="B290" s="45" t="n"/>
      <c r="C290" s="45" t="n"/>
      <c r="D290" s="44" t="n"/>
      <c r="E290" s="44" t="n"/>
      <c r="F290" s="44" t="n"/>
      <c r="G290" s="44" t="n"/>
      <c r="H290" s="44" t="n"/>
      <c r="I290" s="44" t="n"/>
      <c r="J290" s="44" t="n"/>
      <c r="K290" s="44" t="n"/>
      <c r="L290" s="41">
        <f>IF(B290="","",IF(OR(COUNTIF(Settings!$E$4:$E$9,D290)&gt;0,I290="Yes",J290="Yes",K290="Fair lending allegation"),"Escalated","Standard"))</f>
        <v/>
      </c>
      <c r="M290" s="45" t="n"/>
      <c r="N290" s="45" t="n"/>
      <c r="O290" s="42">
        <f>IF(B290="","",WORKDAY(B290,Settings!$B$7))</f>
        <v/>
      </c>
      <c r="P290" s="45" t="n"/>
      <c r="Q290" s="45" t="n"/>
      <c r="R290" s="42">
        <f>IF(B290="","",IF(Q290&lt;&gt;"",MIN(Q290,IF(L290="Escalated",B290+Settings!$B$9,WORKDAY(B290,Settings!$B$8))),IF(L290="Escalated",B290+Settings!$B$9,WORKDAY(B290,Settings!$B$8))))</f>
        <v/>
      </c>
      <c r="S290" s="45" t="n"/>
      <c r="T290" s="44" t="n"/>
      <c r="U290" s="46" t="n"/>
      <c r="V290" s="44" t="n"/>
      <c r="W290" s="44" t="n"/>
      <c r="X290" s="44" t="n"/>
      <c r="Y290" s="41">
        <f>IF(B290="","",IF(S290&lt;&gt;"",S290,Settings!$B$4)-B290)</f>
        <v/>
      </c>
      <c r="Z290" s="41">
        <f>IF(B290="","",IF(S290&lt;&gt;"",IF(S290&gt;R290,"Closed late","Closed on time"),IF(Settings!$B$4&gt;R290,"Open: overdue","Open")))</f>
        <v/>
      </c>
      <c r="AA290" s="41">
        <f>IF(B290="","",IF(NETWORKDAYS(B290,C290)-1&gt;Settings!$B$5,"Logged late",IF(AND(L290="Escalated",M290=""),"Escalate to Compliance",IF(AND(L290="Escalated",N290=""),"Notify Sponsor Bank",IF(AND(L290="Escalated",N290&lt;&gt;"",NETWORKDAYS(B290,N290)-1&gt;Settings!$B$10),"Sponsor Bank notified late",IF(AND(K290&lt;&gt;"",K290&lt;&gt;"None",Q290=""),"Enter the legal deadline",IF(AND(S290&lt;&gt;"",OR(T290="",V290="")),"Record outcome and root cause",IF(AND(P290="",S290="",Settings!$B$4&gt;O290),"Acknowledgment overdue",""))))))))</f>
        <v/>
      </c>
    </row>
    <row r="291" ht="15.75" customHeight="1" s="31">
      <c r="A291" s="44" t="n"/>
      <c r="B291" s="45" t="n"/>
      <c r="C291" s="45" t="n"/>
      <c r="D291" s="44" t="n"/>
      <c r="E291" s="44" t="n"/>
      <c r="F291" s="44" t="n"/>
      <c r="G291" s="44" t="n"/>
      <c r="H291" s="44" t="n"/>
      <c r="I291" s="44" t="n"/>
      <c r="J291" s="44" t="n"/>
      <c r="K291" s="44" t="n"/>
      <c r="L291" s="41">
        <f>IF(B291="","",IF(OR(COUNTIF(Settings!$E$4:$E$9,D291)&gt;0,I291="Yes",J291="Yes",K291="Fair lending allegation"),"Escalated","Standard"))</f>
        <v/>
      </c>
      <c r="M291" s="45" t="n"/>
      <c r="N291" s="45" t="n"/>
      <c r="O291" s="42">
        <f>IF(B291="","",WORKDAY(B291,Settings!$B$7))</f>
        <v/>
      </c>
      <c r="P291" s="45" t="n"/>
      <c r="Q291" s="45" t="n"/>
      <c r="R291" s="42">
        <f>IF(B291="","",IF(Q291&lt;&gt;"",MIN(Q291,IF(L291="Escalated",B291+Settings!$B$9,WORKDAY(B291,Settings!$B$8))),IF(L291="Escalated",B291+Settings!$B$9,WORKDAY(B291,Settings!$B$8))))</f>
        <v/>
      </c>
      <c r="S291" s="45" t="n"/>
      <c r="T291" s="44" t="n"/>
      <c r="U291" s="46" t="n"/>
      <c r="V291" s="44" t="n"/>
      <c r="W291" s="44" t="n"/>
      <c r="X291" s="44" t="n"/>
      <c r="Y291" s="41">
        <f>IF(B291="","",IF(S291&lt;&gt;"",S291,Settings!$B$4)-B291)</f>
        <v/>
      </c>
      <c r="Z291" s="41">
        <f>IF(B291="","",IF(S291&lt;&gt;"",IF(S291&gt;R291,"Closed late","Closed on time"),IF(Settings!$B$4&gt;R291,"Open: overdue","Open")))</f>
        <v/>
      </c>
      <c r="AA291" s="41">
        <f>IF(B291="","",IF(NETWORKDAYS(B291,C291)-1&gt;Settings!$B$5,"Logged late",IF(AND(L291="Escalated",M291=""),"Escalate to Compliance",IF(AND(L291="Escalated",N291=""),"Notify Sponsor Bank",IF(AND(L291="Escalated",N291&lt;&gt;"",NETWORKDAYS(B291,N291)-1&gt;Settings!$B$10),"Sponsor Bank notified late",IF(AND(K291&lt;&gt;"",K291&lt;&gt;"None",Q291=""),"Enter the legal deadline",IF(AND(S291&lt;&gt;"",OR(T291="",V291="")),"Record outcome and root cause",IF(AND(P291="",S291="",Settings!$B$4&gt;O291),"Acknowledgment overdue",""))))))))</f>
        <v/>
      </c>
    </row>
    <row r="292" ht="15.75" customHeight="1" s="31">
      <c r="A292" s="44" t="n"/>
      <c r="B292" s="45" t="n"/>
      <c r="C292" s="45" t="n"/>
      <c r="D292" s="44" t="n"/>
      <c r="E292" s="44" t="n"/>
      <c r="F292" s="44" t="n"/>
      <c r="G292" s="44" t="n"/>
      <c r="H292" s="44" t="n"/>
      <c r="I292" s="44" t="n"/>
      <c r="J292" s="44" t="n"/>
      <c r="K292" s="44" t="n"/>
      <c r="L292" s="41">
        <f>IF(B292="","",IF(OR(COUNTIF(Settings!$E$4:$E$9,D292)&gt;0,I292="Yes",J292="Yes",K292="Fair lending allegation"),"Escalated","Standard"))</f>
        <v/>
      </c>
      <c r="M292" s="45" t="n"/>
      <c r="N292" s="45" t="n"/>
      <c r="O292" s="42">
        <f>IF(B292="","",WORKDAY(B292,Settings!$B$7))</f>
        <v/>
      </c>
      <c r="P292" s="45" t="n"/>
      <c r="Q292" s="45" t="n"/>
      <c r="R292" s="42">
        <f>IF(B292="","",IF(Q292&lt;&gt;"",MIN(Q292,IF(L292="Escalated",B292+Settings!$B$9,WORKDAY(B292,Settings!$B$8))),IF(L292="Escalated",B292+Settings!$B$9,WORKDAY(B292,Settings!$B$8))))</f>
        <v/>
      </c>
      <c r="S292" s="45" t="n"/>
      <c r="T292" s="44" t="n"/>
      <c r="U292" s="46" t="n"/>
      <c r="V292" s="44" t="n"/>
      <c r="W292" s="44" t="n"/>
      <c r="X292" s="44" t="n"/>
      <c r="Y292" s="41">
        <f>IF(B292="","",IF(S292&lt;&gt;"",S292,Settings!$B$4)-B292)</f>
        <v/>
      </c>
      <c r="Z292" s="41">
        <f>IF(B292="","",IF(S292&lt;&gt;"",IF(S292&gt;R292,"Closed late","Closed on time"),IF(Settings!$B$4&gt;R292,"Open: overdue","Open")))</f>
        <v/>
      </c>
      <c r="AA292" s="41">
        <f>IF(B292="","",IF(NETWORKDAYS(B292,C292)-1&gt;Settings!$B$5,"Logged late",IF(AND(L292="Escalated",M292=""),"Escalate to Compliance",IF(AND(L292="Escalated",N292=""),"Notify Sponsor Bank",IF(AND(L292="Escalated",N292&lt;&gt;"",NETWORKDAYS(B292,N292)-1&gt;Settings!$B$10),"Sponsor Bank notified late",IF(AND(K292&lt;&gt;"",K292&lt;&gt;"None",Q292=""),"Enter the legal deadline",IF(AND(S292&lt;&gt;"",OR(T292="",V292="")),"Record outcome and root cause",IF(AND(P292="",S292="",Settings!$B$4&gt;O292),"Acknowledgment overdue",""))))))))</f>
        <v/>
      </c>
    </row>
    <row r="293" ht="15.75" customHeight="1" s="31">
      <c r="A293" s="44" t="n"/>
      <c r="B293" s="45" t="n"/>
      <c r="C293" s="45" t="n"/>
      <c r="D293" s="44" t="n"/>
      <c r="E293" s="44" t="n"/>
      <c r="F293" s="44" t="n"/>
      <c r="G293" s="44" t="n"/>
      <c r="H293" s="44" t="n"/>
      <c r="I293" s="44" t="n"/>
      <c r="J293" s="44" t="n"/>
      <c r="K293" s="44" t="n"/>
      <c r="L293" s="41">
        <f>IF(B293="","",IF(OR(COUNTIF(Settings!$E$4:$E$9,D293)&gt;0,I293="Yes",J293="Yes",K293="Fair lending allegation"),"Escalated","Standard"))</f>
        <v/>
      </c>
      <c r="M293" s="45" t="n"/>
      <c r="N293" s="45" t="n"/>
      <c r="O293" s="42">
        <f>IF(B293="","",WORKDAY(B293,Settings!$B$7))</f>
        <v/>
      </c>
      <c r="P293" s="45" t="n"/>
      <c r="Q293" s="45" t="n"/>
      <c r="R293" s="42">
        <f>IF(B293="","",IF(Q293&lt;&gt;"",MIN(Q293,IF(L293="Escalated",B293+Settings!$B$9,WORKDAY(B293,Settings!$B$8))),IF(L293="Escalated",B293+Settings!$B$9,WORKDAY(B293,Settings!$B$8))))</f>
        <v/>
      </c>
      <c r="S293" s="45" t="n"/>
      <c r="T293" s="44" t="n"/>
      <c r="U293" s="46" t="n"/>
      <c r="V293" s="44" t="n"/>
      <c r="W293" s="44" t="n"/>
      <c r="X293" s="44" t="n"/>
      <c r="Y293" s="41">
        <f>IF(B293="","",IF(S293&lt;&gt;"",S293,Settings!$B$4)-B293)</f>
        <v/>
      </c>
      <c r="Z293" s="41">
        <f>IF(B293="","",IF(S293&lt;&gt;"",IF(S293&gt;R293,"Closed late","Closed on time"),IF(Settings!$B$4&gt;R293,"Open: overdue","Open")))</f>
        <v/>
      </c>
      <c r="AA293" s="41">
        <f>IF(B293="","",IF(NETWORKDAYS(B293,C293)-1&gt;Settings!$B$5,"Logged late",IF(AND(L293="Escalated",M293=""),"Escalate to Compliance",IF(AND(L293="Escalated",N293=""),"Notify Sponsor Bank",IF(AND(L293="Escalated",N293&lt;&gt;"",NETWORKDAYS(B293,N293)-1&gt;Settings!$B$10),"Sponsor Bank notified late",IF(AND(K293&lt;&gt;"",K293&lt;&gt;"None",Q293=""),"Enter the legal deadline",IF(AND(S293&lt;&gt;"",OR(T293="",V293="")),"Record outcome and root cause",IF(AND(P293="",S293="",Settings!$B$4&gt;O293),"Acknowledgment overdue",""))))))))</f>
        <v/>
      </c>
    </row>
    <row r="294" ht="15.75" customHeight="1" s="31">
      <c r="A294" s="44" t="n"/>
      <c r="B294" s="45" t="n"/>
      <c r="C294" s="45" t="n"/>
      <c r="D294" s="44" t="n"/>
      <c r="E294" s="44" t="n"/>
      <c r="F294" s="44" t="n"/>
      <c r="G294" s="44" t="n"/>
      <c r="H294" s="44" t="n"/>
      <c r="I294" s="44" t="n"/>
      <c r="J294" s="44" t="n"/>
      <c r="K294" s="44" t="n"/>
      <c r="L294" s="41">
        <f>IF(B294="","",IF(OR(COUNTIF(Settings!$E$4:$E$9,D294)&gt;0,I294="Yes",J294="Yes",K294="Fair lending allegation"),"Escalated","Standard"))</f>
        <v/>
      </c>
      <c r="M294" s="45" t="n"/>
      <c r="N294" s="45" t="n"/>
      <c r="O294" s="42">
        <f>IF(B294="","",WORKDAY(B294,Settings!$B$7))</f>
        <v/>
      </c>
      <c r="P294" s="45" t="n"/>
      <c r="Q294" s="45" t="n"/>
      <c r="R294" s="42">
        <f>IF(B294="","",IF(Q294&lt;&gt;"",MIN(Q294,IF(L294="Escalated",B294+Settings!$B$9,WORKDAY(B294,Settings!$B$8))),IF(L294="Escalated",B294+Settings!$B$9,WORKDAY(B294,Settings!$B$8))))</f>
        <v/>
      </c>
      <c r="S294" s="45" t="n"/>
      <c r="T294" s="44" t="n"/>
      <c r="U294" s="46" t="n"/>
      <c r="V294" s="44" t="n"/>
      <c r="W294" s="44" t="n"/>
      <c r="X294" s="44" t="n"/>
      <c r="Y294" s="41">
        <f>IF(B294="","",IF(S294&lt;&gt;"",S294,Settings!$B$4)-B294)</f>
        <v/>
      </c>
      <c r="Z294" s="41">
        <f>IF(B294="","",IF(S294&lt;&gt;"",IF(S294&gt;R294,"Closed late","Closed on time"),IF(Settings!$B$4&gt;R294,"Open: overdue","Open")))</f>
        <v/>
      </c>
      <c r="AA294" s="41">
        <f>IF(B294="","",IF(NETWORKDAYS(B294,C294)-1&gt;Settings!$B$5,"Logged late",IF(AND(L294="Escalated",M294=""),"Escalate to Compliance",IF(AND(L294="Escalated",N294=""),"Notify Sponsor Bank",IF(AND(L294="Escalated",N294&lt;&gt;"",NETWORKDAYS(B294,N294)-1&gt;Settings!$B$10),"Sponsor Bank notified late",IF(AND(K294&lt;&gt;"",K294&lt;&gt;"None",Q294=""),"Enter the legal deadline",IF(AND(S294&lt;&gt;"",OR(T294="",V294="")),"Record outcome and root cause",IF(AND(P294="",S294="",Settings!$B$4&gt;O294),"Acknowledgment overdue",""))))))))</f>
        <v/>
      </c>
    </row>
    <row r="295" ht="15.75" customHeight="1" s="31">
      <c r="A295" s="44" t="n"/>
      <c r="B295" s="45" t="n"/>
      <c r="C295" s="45" t="n"/>
      <c r="D295" s="44" t="n"/>
      <c r="E295" s="44" t="n"/>
      <c r="F295" s="44" t="n"/>
      <c r="G295" s="44" t="n"/>
      <c r="H295" s="44" t="n"/>
      <c r="I295" s="44" t="n"/>
      <c r="J295" s="44" t="n"/>
      <c r="K295" s="44" t="n"/>
      <c r="L295" s="41">
        <f>IF(B295="","",IF(OR(COUNTIF(Settings!$E$4:$E$9,D295)&gt;0,I295="Yes",J295="Yes",K295="Fair lending allegation"),"Escalated","Standard"))</f>
        <v/>
      </c>
      <c r="M295" s="45" t="n"/>
      <c r="N295" s="45" t="n"/>
      <c r="O295" s="42">
        <f>IF(B295="","",WORKDAY(B295,Settings!$B$7))</f>
        <v/>
      </c>
      <c r="P295" s="45" t="n"/>
      <c r="Q295" s="45" t="n"/>
      <c r="R295" s="42">
        <f>IF(B295="","",IF(Q295&lt;&gt;"",MIN(Q295,IF(L295="Escalated",B295+Settings!$B$9,WORKDAY(B295,Settings!$B$8))),IF(L295="Escalated",B295+Settings!$B$9,WORKDAY(B295,Settings!$B$8))))</f>
        <v/>
      </c>
      <c r="S295" s="45" t="n"/>
      <c r="T295" s="44" t="n"/>
      <c r="U295" s="46" t="n"/>
      <c r="V295" s="44" t="n"/>
      <c r="W295" s="44" t="n"/>
      <c r="X295" s="44" t="n"/>
      <c r="Y295" s="41">
        <f>IF(B295="","",IF(S295&lt;&gt;"",S295,Settings!$B$4)-B295)</f>
        <v/>
      </c>
      <c r="Z295" s="41">
        <f>IF(B295="","",IF(S295&lt;&gt;"",IF(S295&gt;R295,"Closed late","Closed on time"),IF(Settings!$B$4&gt;R295,"Open: overdue","Open")))</f>
        <v/>
      </c>
      <c r="AA295" s="41">
        <f>IF(B295="","",IF(NETWORKDAYS(B295,C295)-1&gt;Settings!$B$5,"Logged late",IF(AND(L295="Escalated",M295=""),"Escalate to Compliance",IF(AND(L295="Escalated",N295=""),"Notify Sponsor Bank",IF(AND(L295="Escalated",N295&lt;&gt;"",NETWORKDAYS(B295,N295)-1&gt;Settings!$B$10),"Sponsor Bank notified late",IF(AND(K295&lt;&gt;"",K295&lt;&gt;"None",Q295=""),"Enter the legal deadline",IF(AND(S295&lt;&gt;"",OR(T295="",V295="")),"Record outcome and root cause",IF(AND(P295="",S295="",Settings!$B$4&gt;O295),"Acknowledgment overdue",""))))))))</f>
        <v/>
      </c>
    </row>
    <row r="296" ht="15.75" customHeight="1" s="31">
      <c r="A296" s="44" t="n"/>
      <c r="B296" s="45" t="n"/>
      <c r="C296" s="45" t="n"/>
      <c r="D296" s="44" t="n"/>
      <c r="E296" s="44" t="n"/>
      <c r="F296" s="44" t="n"/>
      <c r="G296" s="44" t="n"/>
      <c r="H296" s="44" t="n"/>
      <c r="I296" s="44" t="n"/>
      <c r="J296" s="44" t="n"/>
      <c r="K296" s="44" t="n"/>
      <c r="L296" s="41">
        <f>IF(B296="","",IF(OR(COUNTIF(Settings!$E$4:$E$9,D296)&gt;0,I296="Yes",J296="Yes",K296="Fair lending allegation"),"Escalated","Standard"))</f>
        <v/>
      </c>
      <c r="M296" s="45" t="n"/>
      <c r="N296" s="45" t="n"/>
      <c r="O296" s="42">
        <f>IF(B296="","",WORKDAY(B296,Settings!$B$7))</f>
        <v/>
      </c>
      <c r="P296" s="45" t="n"/>
      <c r="Q296" s="45" t="n"/>
      <c r="R296" s="42">
        <f>IF(B296="","",IF(Q296&lt;&gt;"",MIN(Q296,IF(L296="Escalated",B296+Settings!$B$9,WORKDAY(B296,Settings!$B$8))),IF(L296="Escalated",B296+Settings!$B$9,WORKDAY(B296,Settings!$B$8))))</f>
        <v/>
      </c>
      <c r="S296" s="45" t="n"/>
      <c r="T296" s="44" t="n"/>
      <c r="U296" s="46" t="n"/>
      <c r="V296" s="44" t="n"/>
      <c r="W296" s="44" t="n"/>
      <c r="X296" s="44" t="n"/>
      <c r="Y296" s="41">
        <f>IF(B296="","",IF(S296&lt;&gt;"",S296,Settings!$B$4)-B296)</f>
        <v/>
      </c>
      <c r="Z296" s="41">
        <f>IF(B296="","",IF(S296&lt;&gt;"",IF(S296&gt;R296,"Closed late","Closed on time"),IF(Settings!$B$4&gt;R296,"Open: overdue","Open")))</f>
        <v/>
      </c>
      <c r="AA296" s="41">
        <f>IF(B296="","",IF(NETWORKDAYS(B296,C296)-1&gt;Settings!$B$5,"Logged late",IF(AND(L296="Escalated",M296=""),"Escalate to Compliance",IF(AND(L296="Escalated",N296=""),"Notify Sponsor Bank",IF(AND(L296="Escalated",N296&lt;&gt;"",NETWORKDAYS(B296,N296)-1&gt;Settings!$B$10),"Sponsor Bank notified late",IF(AND(K296&lt;&gt;"",K296&lt;&gt;"None",Q296=""),"Enter the legal deadline",IF(AND(S296&lt;&gt;"",OR(T296="",V296="")),"Record outcome and root cause",IF(AND(P296="",S296="",Settings!$B$4&gt;O296),"Acknowledgment overdue",""))))))))</f>
        <v/>
      </c>
    </row>
    <row r="297" ht="15.75" customHeight="1" s="31">
      <c r="A297" s="44" t="n"/>
      <c r="B297" s="45" t="n"/>
      <c r="C297" s="45" t="n"/>
      <c r="D297" s="44" t="n"/>
      <c r="E297" s="44" t="n"/>
      <c r="F297" s="44" t="n"/>
      <c r="G297" s="44" t="n"/>
      <c r="H297" s="44" t="n"/>
      <c r="I297" s="44" t="n"/>
      <c r="J297" s="44" t="n"/>
      <c r="K297" s="44" t="n"/>
      <c r="L297" s="41">
        <f>IF(B297="","",IF(OR(COUNTIF(Settings!$E$4:$E$9,D297)&gt;0,I297="Yes",J297="Yes",K297="Fair lending allegation"),"Escalated","Standard"))</f>
        <v/>
      </c>
      <c r="M297" s="45" t="n"/>
      <c r="N297" s="45" t="n"/>
      <c r="O297" s="42">
        <f>IF(B297="","",WORKDAY(B297,Settings!$B$7))</f>
        <v/>
      </c>
      <c r="P297" s="45" t="n"/>
      <c r="Q297" s="45" t="n"/>
      <c r="R297" s="42">
        <f>IF(B297="","",IF(Q297&lt;&gt;"",MIN(Q297,IF(L297="Escalated",B297+Settings!$B$9,WORKDAY(B297,Settings!$B$8))),IF(L297="Escalated",B297+Settings!$B$9,WORKDAY(B297,Settings!$B$8))))</f>
        <v/>
      </c>
      <c r="S297" s="45" t="n"/>
      <c r="T297" s="44" t="n"/>
      <c r="U297" s="46" t="n"/>
      <c r="V297" s="44" t="n"/>
      <c r="W297" s="44" t="n"/>
      <c r="X297" s="44" t="n"/>
      <c r="Y297" s="41">
        <f>IF(B297="","",IF(S297&lt;&gt;"",S297,Settings!$B$4)-B297)</f>
        <v/>
      </c>
      <c r="Z297" s="41">
        <f>IF(B297="","",IF(S297&lt;&gt;"",IF(S297&gt;R297,"Closed late","Closed on time"),IF(Settings!$B$4&gt;R297,"Open: overdue","Open")))</f>
        <v/>
      </c>
      <c r="AA297" s="41">
        <f>IF(B297="","",IF(NETWORKDAYS(B297,C297)-1&gt;Settings!$B$5,"Logged late",IF(AND(L297="Escalated",M297=""),"Escalate to Compliance",IF(AND(L297="Escalated",N297=""),"Notify Sponsor Bank",IF(AND(L297="Escalated",N297&lt;&gt;"",NETWORKDAYS(B297,N297)-1&gt;Settings!$B$10),"Sponsor Bank notified late",IF(AND(K297&lt;&gt;"",K297&lt;&gt;"None",Q297=""),"Enter the legal deadline",IF(AND(S297&lt;&gt;"",OR(T297="",V297="")),"Record outcome and root cause",IF(AND(P297="",S297="",Settings!$B$4&gt;O297),"Acknowledgment overdue",""))))))))</f>
        <v/>
      </c>
    </row>
    <row r="298" ht="15.75" customHeight="1" s="31">
      <c r="A298" s="44" t="n"/>
      <c r="B298" s="45" t="n"/>
      <c r="C298" s="45" t="n"/>
      <c r="D298" s="44" t="n"/>
      <c r="E298" s="44" t="n"/>
      <c r="F298" s="44" t="n"/>
      <c r="G298" s="44" t="n"/>
      <c r="H298" s="44" t="n"/>
      <c r="I298" s="44" t="n"/>
      <c r="J298" s="44" t="n"/>
      <c r="K298" s="44" t="n"/>
      <c r="L298" s="41">
        <f>IF(B298="","",IF(OR(COUNTIF(Settings!$E$4:$E$9,D298)&gt;0,I298="Yes",J298="Yes",K298="Fair lending allegation"),"Escalated","Standard"))</f>
        <v/>
      </c>
      <c r="M298" s="45" t="n"/>
      <c r="N298" s="45" t="n"/>
      <c r="O298" s="42">
        <f>IF(B298="","",WORKDAY(B298,Settings!$B$7))</f>
        <v/>
      </c>
      <c r="P298" s="45" t="n"/>
      <c r="Q298" s="45" t="n"/>
      <c r="R298" s="42">
        <f>IF(B298="","",IF(Q298&lt;&gt;"",MIN(Q298,IF(L298="Escalated",B298+Settings!$B$9,WORKDAY(B298,Settings!$B$8))),IF(L298="Escalated",B298+Settings!$B$9,WORKDAY(B298,Settings!$B$8))))</f>
        <v/>
      </c>
      <c r="S298" s="45" t="n"/>
      <c r="T298" s="44" t="n"/>
      <c r="U298" s="46" t="n"/>
      <c r="V298" s="44" t="n"/>
      <c r="W298" s="44" t="n"/>
      <c r="X298" s="44" t="n"/>
      <c r="Y298" s="41">
        <f>IF(B298="","",IF(S298&lt;&gt;"",S298,Settings!$B$4)-B298)</f>
        <v/>
      </c>
      <c r="Z298" s="41">
        <f>IF(B298="","",IF(S298&lt;&gt;"",IF(S298&gt;R298,"Closed late","Closed on time"),IF(Settings!$B$4&gt;R298,"Open: overdue","Open")))</f>
        <v/>
      </c>
      <c r="AA298" s="41">
        <f>IF(B298="","",IF(NETWORKDAYS(B298,C298)-1&gt;Settings!$B$5,"Logged late",IF(AND(L298="Escalated",M298=""),"Escalate to Compliance",IF(AND(L298="Escalated",N298=""),"Notify Sponsor Bank",IF(AND(L298="Escalated",N298&lt;&gt;"",NETWORKDAYS(B298,N298)-1&gt;Settings!$B$10),"Sponsor Bank notified late",IF(AND(K298&lt;&gt;"",K298&lt;&gt;"None",Q298=""),"Enter the legal deadline",IF(AND(S298&lt;&gt;"",OR(T298="",V298="")),"Record outcome and root cause",IF(AND(P298="",S298="",Settings!$B$4&gt;O298),"Acknowledgment overdue",""))))))))</f>
        <v/>
      </c>
    </row>
    <row r="299" ht="15.75" customHeight="1" s="31">
      <c r="A299" s="44" t="n"/>
      <c r="B299" s="45" t="n"/>
      <c r="C299" s="45" t="n"/>
      <c r="D299" s="44" t="n"/>
      <c r="E299" s="44" t="n"/>
      <c r="F299" s="44" t="n"/>
      <c r="G299" s="44" t="n"/>
      <c r="H299" s="44" t="n"/>
      <c r="I299" s="44" t="n"/>
      <c r="J299" s="44" t="n"/>
      <c r="K299" s="44" t="n"/>
      <c r="L299" s="41">
        <f>IF(B299="","",IF(OR(COUNTIF(Settings!$E$4:$E$9,D299)&gt;0,I299="Yes",J299="Yes",K299="Fair lending allegation"),"Escalated","Standard"))</f>
        <v/>
      </c>
      <c r="M299" s="45" t="n"/>
      <c r="N299" s="45" t="n"/>
      <c r="O299" s="42">
        <f>IF(B299="","",WORKDAY(B299,Settings!$B$7))</f>
        <v/>
      </c>
      <c r="P299" s="45" t="n"/>
      <c r="Q299" s="45" t="n"/>
      <c r="R299" s="42">
        <f>IF(B299="","",IF(Q299&lt;&gt;"",MIN(Q299,IF(L299="Escalated",B299+Settings!$B$9,WORKDAY(B299,Settings!$B$8))),IF(L299="Escalated",B299+Settings!$B$9,WORKDAY(B299,Settings!$B$8))))</f>
        <v/>
      </c>
      <c r="S299" s="45" t="n"/>
      <c r="T299" s="44" t="n"/>
      <c r="U299" s="46" t="n"/>
      <c r="V299" s="44" t="n"/>
      <c r="W299" s="44" t="n"/>
      <c r="X299" s="44" t="n"/>
      <c r="Y299" s="41">
        <f>IF(B299="","",IF(S299&lt;&gt;"",S299,Settings!$B$4)-B299)</f>
        <v/>
      </c>
      <c r="Z299" s="41">
        <f>IF(B299="","",IF(S299&lt;&gt;"",IF(S299&gt;R299,"Closed late","Closed on time"),IF(Settings!$B$4&gt;R299,"Open: overdue","Open")))</f>
        <v/>
      </c>
      <c r="AA299" s="41">
        <f>IF(B299="","",IF(NETWORKDAYS(B299,C299)-1&gt;Settings!$B$5,"Logged late",IF(AND(L299="Escalated",M299=""),"Escalate to Compliance",IF(AND(L299="Escalated",N299=""),"Notify Sponsor Bank",IF(AND(L299="Escalated",N299&lt;&gt;"",NETWORKDAYS(B299,N299)-1&gt;Settings!$B$10),"Sponsor Bank notified late",IF(AND(K299&lt;&gt;"",K299&lt;&gt;"None",Q299=""),"Enter the legal deadline",IF(AND(S299&lt;&gt;"",OR(T299="",V299="")),"Record outcome and root cause",IF(AND(P299="",S299="",Settings!$B$4&gt;O299),"Acknowledgment overdue",""))))))))</f>
        <v/>
      </c>
    </row>
    <row r="300" ht="15.75" customHeight="1" s="31">
      <c r="A300" s="44" t="n"/>
      <c r="B300" s="45" t="n"/>
      <c r="C300" s="45" t="n"/>
      <c r="D300" s="44" t="n"/>
      <c r="E300" s="44" t="n"/>
      <c r="F300" s="44" t="n"/>
      <c r="G300" s="44" t="n"/>
      <c r="H300" s="44" t="n"/>
      <c r="I300" s="44" t="n"/>
      <c r="J300" s="44" t="n"/>
      <c r="K300" s="44" t="n"/>
      <c r="L300" s="41">
        <f>IF(B300="","",IF(OR(COUNTIF(Settings!$E$4:$E$9,D300)&gt;0,I300="Yes",J300="Yes",K300="Fair lending allegation"),"Escalated","Standard"))</f>
        <v/>
      </c>
      <c r="M300" s="45" t="n"/>
      <c r="N300" s="45" t="n"/>
      <c r="O300" s="42">
        <f>IF(B300="","",WORKDAY(B300,Settings!$B$7))</f>
        <v/>
      </c>
      <c r="P300" s="45" t="n"/>
      <c r="Q300" s="45" t="n"/>
      <c r="R300" s="42">
        <f>IF(B300="","",IF(Q300&lt;&gt;"",MIN(Q300,IF(L300="Escalated",B300+Settings!$B$9,WORKDAY(B300,Settings!$B$8))),IF(L300="Escalated",B300+Settings!$B$9,WORKDAY(B300,Settings!$B$8))))</f>
        <v/>
      </c>
      <c r="S300" s="45" t="n"/>
      <c r="T300" s="44" t="n"/>
      <c r="U300" s="46" t="n"/>
      <c r="V300" s="44" t="n"/>
      <c r="W300" s="44" t="n"/>
      <c r="X300" s="44" t="n"/>
      <c r="Y300" s="41">
        <f>IF(B300="","",IF(S300&lt;&gt;"",S300,Settings!$B$4)-B300)</f>
        <v/>
      </c>
      <c r="Z300" s="41">
        <f>IF(B300="","",IF(S300&lt;&gt;"",IF(S300&gt;R300,"Closed late","Closed on time"),IF(Settings!$B$4&gt;R300,"Open: overdue","Open")))</f>
        <v/>
      </c>
      <c r="AA300" s="41">
        <f>IF(B300="","",IF(NETWORKDAYS(B300,C300)-1&gt;Settings!$B$5,"Logged late",IF(AND(L300="Escalated",M300=""),"Escalate to Compliance",IF(AND(L300="Escalated",N300=""),"Notify Sponsor Bank",IF(AND(L300="Escalated",N300&lt;&gt;"",NETWORKDAYS(B300,N300)-1&gt;Settings!$B$10),"Sponsor Bank notified late",IF(AND(K300&lt;&gt;"",K300&lt;&gt;"None",Q300=""),"Enter the legal deadline",IF(AND(S300&lt;&gt;"",OR(T300="",V300="")),"Record outcome and root cause",IF(AND(P300="",S300="",Settings!$B$4&gt;O300),"Acknowledgment overdue",""))))))))</f>
        <v/>
      </c>
    </row>
    <row r="301" ht="15.75" customHeight="1" s="31">
      <c r="A301" s="44" t="n"/>
      <c r="B301" s="45" t="n"/>
      <c r="C301" s="45" t="n"/>
      <c r="D301" s="44" t="n"/>
      <c r="E301" s="44" t="n"/>
      <c r="F301" s="44" t="n"/>
      <c r="G301" s="44" t="n"/>
      <c r="H301" s="44" t="n"/>
      <c r="I301" s="44" t="n"/>
      <c r="J301" s="44" t="n"/>
      <c r="K301" s="44" t="n"/>
      <c r="L301" s="41">
        <f>IF(B301="","",IF(OR(COUNTIF(Settings!$E$4:$E$9,D301)&gt;0,I301="Yes",J301="Yes",K301="Fair lending allegation"),"Escalated","Standard"))</f>
        <v/>
      </c>
      <c r="M301" s="45" t="n"/>
      <c r="N301" s="45" t="n"/>
      <c r="O301" s="42">
        <f>IF(B301="","",WORKDAY(B301,Settings!$B$7))</f>
        <v/>
      </c>
      <c r="P301" s="45" t="n"/>
      <c r="Q301" s="45" t="n"/>
      <c r="R301" s="42">
        <f>IF(B301="","",IF(Q301&lt;&gt;"",MIN(Q301,IF(L301="Escalated",B301+Settings!$B$9,WORKDAY(B301,Settings!$B$8))),IF(L301="Escalated",B301+Settings!$B$9,WORKDAY(B301,Settings!$B$8))))</f>
        <v/>
      </c>
      <c r="S301" s="45" t="n"/>
      <c r="T301" s="44" t="n"/>
      <c r="U301" s="46" t="n"/>
      <c r="V301" s="44" t="n"/>
      <c r="W301" s="44" t="n"/>
      <c r="X301" s="44" t="n"/>
      <c r="Y301" s="41">
        <f>IF(B301="","",IF(S301&lt;&gt;"",S301,Settings!$B$4)-B301)</f>
        <v/>
      </c>
      <c r="Z301" s="41">
        <f>IF(B301="","",IF(S301&lt;&gt;"",IF(S301&gt;R301,"Closed late","Closed on time"),IF(Settings!$B$4&gt;R301,"Open: overdue","Open")))</f>
        <v/>
      </c>
      <c r="AA301" s="41">
        <f>IF(B301="","",IF(NETWORKDAYS(B301,C301)-1&gt;Settings!$B$5,"Logged late",IF(AND(L301="Escalated",M301=""),"Escalate to Compliance",IF(AND(L301="Escalated",N301=""),"Notify Sponsor Bank",IF(AND(L301="Escalated",N301&lt;&gt;"",NETWORKDAYS(B301,N301)-1&gt;Settings!$B$10),"Sponsor Bank notified late",IF(AND(K301&lt;&gt;"",K301&lt;&gt;"None",Q301=""),"Enter the legal deadline",IF(AND(S301&lt;&gt;"",OR(T301="",V301="")),"Record outcome and root cause",IF(AND(P301="",S301="",Settings!$B$4&gt;O301),"Acknowledgment overdue",""))))))))</f>
        <v/>
      </c>
    </row>
    <row r="302" ht="15.75" customHeight="1" s="31">
      <c r="A302" s="44" t="n"/>
      <c r="B302" s="45" t="n"/>
      <c r="C302" s="45" t="n"/>
      <c r="D302" s="44" t="n"/>
      <c r="E302" s="44" t="n"/>
      <c r="F302" s="44" t="n"/>
      <c r="G302" s="44" t="n"/>
      <c r="H302" s="44" t="n"/>
      <c r="I302" s="44" t="n"/>
      <c r="J302" s="44" t="n"/>
      <c r="K302" s="44" t="n"/>
      <c r="L302" s="41">
        <f>IF(B302="","",IF(OR(COUNTIF(Settings!$E$4:$E$9,D302)&gt;0,I302="Yes",J302="Yes",K302="Fair lending allegation"),"Escalated","Standard"))</f>
        <v/>
      </c>
      <c r="M302" s="45" t="n"/>
      <c r="N302" s="45" t="n"/>
      <c r="O302" s="42">
        <f>IF(B302="","",WORKDAY(B302,Settings!$B$7))</f>
        <v/>
      </c>
      <c r="P302" s="45" t="n"/>
      <c r="Q302" s="45" t="n"/>
      <c r="R302" s="42">
        <f>IF(B302="","",IF(Q302&lt;&gt;"",MIN(Q302,IF(L302="Escalated",B302+Settings!$B$9,WORKDAY(B302,Settings!$B$8))),IF(L302="Escalated",B302+Settings!$B$9,WORKDAY(B302,Settings!$B$8))))</f>
        <v/>
      </c>
      <c r="S302" s="45" t="n"/>
      <c r="T302" s="44" t="n"/>
      <c r="U302" s="46" t="n"/>
      <c r="V302" s="44" t="n"/>
      <c r="W302" s="44" t="n"/>
      <c r="X302" s="44" t="n"/>
      <c r="Y302" s="41">
        <f>IF(B302="","",IF(S302&lt;&gt;"",S302,Settings!$B$4)-B302)</f>
        <v/>
      </c>
      <c r="Z302" s="41">
        <f>IF(B302="","",IF(S302&lt;&gt;"",IF(S302&gt;R302,"Closed late","Closed on time"),IF(Settings!$B$4&gt;R302,"Open: overdue","Open")))</f>
        <v/>
      </c>
      <c r="AA302" s="41">
        <f>IF(B302="","",IF(NETWORKDAYS(B302,C302)-1&gt;Settings!$B$5,"Logged late",IF(AND(L302="Escalated",M302=""),"Escalate to Compliance",IF(AND(L302="Escalated",N302=""),"Notify Sponsor Bank",IF(AND(L302="Escalated",N302&lt;&gt;"",NETWORKDAYS(B302,N302)-1&gt;Settings!$B$10),"Sponsor Bank notified late",IF(AND(K302&lt;&gt;"",K302&lt;&gt;"None",Q302=""),"Enter the legal deadline",IF(AND(S302&lt;&gt;"",OR(T302="",V302="")),"Record outcome and root cause",IF(AND(P302="",S302="",Settings!$B$4&gt;O302),"Acknowledgment overdue",""))))))))</f>
        <v/>
      </c>
    </row>
    <row r="303" ht="15.75" customHeight="1" s="31">
      <c r="A303" s="44" t="n"/>
      <c r="B303" s="45" t="n"/>
      <c r="C303" s="45" t="n"/>
      <c r="D303" s="44" t="n"/>
      <c r="E303" s="44" t="n"/>
      <c r="F303" s="44" t="n"/>
      <c r="G303" s="44" t="n"/>
      <c r="H303" s="44" t="n"/>
      <c r="I303" s="44" t="n"/>
      <c r="J303" s="44" t="n"/>
      <c r="K303" s="44" t="n"/>
      <c r="L303" s="41">
        <f>IF(B303="","",IF(OR(COUNTIF(Settings!$E$4:$E$9,D303)&gt;0,I303="Yes",J303="Yes",K303="Fair lending allegation"),"Escalated","Standard"))</f>
        <v/>
      </c>
      <c r="M303" s="45" t="n"/>
      <c r="N303" s="45" t="n"/>
      <c r="O303" s="42">
        <f>IF(B303="","",WORKDAY(B303,Settings!$B$7))</f>
        <v/>
      </c>
      <c r="P303" s="45" t="n"/>
      <c r="Q303" s="45" t="n"/>
      <c r="R303" s="42">
        <f>IF(B303="","",IF(Q303&lt;&gt;"",MIN(Q303,IF(L303="Escalated",B303+Settings!$B$9,WORKDAY(B303,Settings!$B$8))),IF(L303="Escalated",B303+Settings!$B$9,WORKDAY(B303,Settings!$B$8))))</f>
        <v/>
      </c>
      <c r="S303" s="45" t="n"/>
      <c r="T303" s="44" t="n"/>
      <c r="U303" s="46" t="n"/>
      <c r="V303" s="44" t="n"/>
      <c r="W303" s="44" t="n"/>
      <c r="X303" s="44" t="n"/>
      <c r="Y303" s="41">
        <f>IF(B303="","",IF(S303&lt;&gt;"",S303,Settings!$B$4)-B303)</f>
        <v/>
      </c>
      <c r="Z303" s="41">
        <f>IF(B303="","",IF(S303&lt;&gt;"",IF(S303&gt;R303,"Closed late","Closed on time"),IF(Settings!$B$4&gt;R303,"Open: overdue","Open")))</f>
        <v/>
      </c>
      <c r="AA303" s="41">
        <f>IF(B303="","",IF(NETWORKDAYS(B303,C303)-1&gt;Settings!$B$5,"Logged late",IF(AND(L303="Escalated",M303=""),"Escalate to Compliance",IF(AND(L303="Escalated",N303=""),"Notify Sponsor Bank",IF(AND(L303="Escalated",N303&lt;&gt;"",NETWORKDAYS(B303,N303)-1&gt;Settings!$B$10),"Sponsor Bank notified late",IF(AND(K303&lt;&gt;"",K303&lt;&gt;"None",Q303=""),"Enter the legal deadline",IF(AND(S303&lt;&gt;"",OR(T303="",V303="")),"Record outcome and root cause",IF(AND(P303="",S303="",Settings!$B$4&gt;O303),"Acknowledgment overdue",""))))))))</f>
        <v/>
      </c>
    </row>
    <row r="304" ht="15.75" customHeight="1" s="31">
      <c r="A304" s="44" t="n"/>
      <c r="B304" s="45" t="n"/>
      <c r="C304" s="45" t="n"/>
      <c r="D304" s="44" t="n"/>
      <c r="E304" s="44" t="n"/>
      <c r="F304" s="44" t="n"/>
      <c r="G304" s="44" t="n"/>
      <c r="H304" s="44" t="n"/>
      <c r="I304" s="44" t="n"/>
      <c r="J304" s="44" t="n"/>
      <c r="K304" s="44" t="n"/>
      <c r="L304" s="41">
        <f>IF(B304="","",IF(OR(COUNTIF(Settings!$E$4:$E$9,D304)&gt;0,I304="Yes",J304="Yes",K304="Fair lending allegation"),"Escalated","Standard"))</f>
        <v/>
      </c>
      <c r="M304" s="45" t="n"/>
      <c r="N304" s="45" t="n"/>
      <c r="O304" s="42">
        <f>IF(B304="","",WORKDAY(B304,Settings!$B$7))</f>
        <v/>
      </c>
      <c r="P304" s="45" t="n"/>
      <c r="Q304" s="45" t="n"/>
      <c r="R304" s="42">
        <f>IF(B304="","",IF(Q304&lt;&gt;"",MIN(Q304,IF(L304="Escalated",B304+Settings!$B$9,WORKDAY(B304,Settings!$B$8))),IF(L304="Escalated",B304+Settings!$B$9,WORKDAY(B304,Settings!$B$8))))</f>
        <v/>
      </c>
      <c r="S304" s="45" t="n"/>
      <c r="T304" s="44" t="n"/>
      <c r="U304" s="46" t="n"/>
      <c r="V304" s="44" t="n"/>
      <c r="W304" s="44" t="n"/>
      <c r="X304" s="44" t="n"/>
      <c r="Y304" s="41">
        <f>IF(B304="","",IF(S304&lt;&gt;"",S304,Settings!$B$4)-B304)</f>
        <v/>
      </c>
      <c r="Z304" s="41">
        <f>IF(B304="","",IF(S304&lt;&gt;"",IF(S304&gt;R304,"Closed late","Closed on time"),IF(Settings!$B$4&gt;R304,"Open: overdue","Open")))</f>
        <v/>
      </c>
      <c r="AA304" s="41">
        <f>IF(B304="","",IF(NETWORKDAYS(B304,C304)-1&gt;Settings!$B$5,"Logged late",IF(AND(L304="Escalated",M304=""),"Escalate to Compliance",IF(AND(L304="Escalated",N304=""),"Notify Sponsor Bank",IF(AND(L304="Escalated",N304&lt;&gt;"",NETWORKDAYS(B304,N304)-1&gt;Settings!$B$10),"Sponsor Bank notified late",IF(AND(K304&lt;&gt;"",K304&lt;&gt;"None",Q304=""),"Enter the legal deadline",IF(AND(S304&lt;&gt;"",OR(T304="",V304="")),"Record outcome and root cause",IF(AND(P304="",S304="",Settings!$B$4&gt;O304),"Acknowledgment overdue",""))))))))</f>
        <v/>
      </c>
    </row>
    <row r="305" ht="15.75" customHeight="1" s="31">
      <c r="A305" s="44" t="n"/>
      <c r="B305" s="45" t="n"/>
      <c r="C305" s="45" t="n"/>
      <c r="D305" s="44" t="n"/>
      <c r="E305" s="44" t="n"/>
      <c r="F305" s="44" t="n"/>
      <c r="G305" s="44" t="n"/>
      <c r="H305" s="44" t="n"/>
      <c r="I305" s="44" t="n"/>
      <c r="J305" s="44" t="n"/>
      <c r="K305" s="44" t="n"/>
      <c r="L305" s="41">
        <f>IF(B305="","",IF(OR(COUNTIF(Settings!$E$4:$E$9,D305)&gt;0,I305="Yes",J305="Yes",K305="Fair lending allegation"),"Escalated","Standard"))</f>
        <v/>
      </c>
      <c r="M305" s="45" t="n"/>
      <c r="N305" s="45" t="n"/>
      <c r="O305" s="42">
        <f>IF(B305="","",WORKDAY(B305,Settings!$B$7))</f>
        <v/>
      </c>
      <c r="P305" s="45" t="n"/>
      <c r="Q305" s="45" t="n"/>
      <c r="R305" s="42">
        <f>IF(B305="","",IF(Q305&lt;&gt;"",MIN(Q305,IF(L305="Escalated",B305+Settings!$B$9,WORKDAY(B305,Settings!$B$8))),IF(L305="Escalated",B305+Settings!$B$9,WORKDAY(B305,Settings!$B$8))))</f>
        <v/>
      </c>
      <c r="S305" s="45" t="n"/>
      <c r="T305" s="44" t="n"/>
      <c r="U305" s="46" t="n"/>
      <c r="V305" s="44" t="n"/>
      <c r="W305" s="44" t="n"/>
      <c r="X305" s="44" t="n"/>
      <c r="Y305" s="41">
        <f>IF(B305="","",IF(S305&lt;&gt;"",S305,Settings!$B$4)-B305)</f>
        <v/>
      </c>
      <c r="Z305" s="41">
        <f>IF(B305="","",IF(S305&lt;&gt;"",IF(S305&gt;R305,"Closed late","Closed on time"),IF(Settings!$B$4&gt;R305,"Open: overdue","Open")))</f>
        <v/>
      </c>
      <c r="AA305" s="41">
        <f>IF(B305="","",IF(NETWORKDAYS(B305,C305)-1&gt;Settings!$B$5,"Logged late",IF(AND(L305="Escalated",M305=""),"Escalate to Compliance",IF(AND(L305="Escalated",N305=""),"Notify Sponsor Bank",IF(AND(L305="Escalated",N305&lt;&gt;"",NETWORKDAYS(B305,N305)-1&gt;Settings!$B$10),"Sponsor Bank notified late",IF(AND(K305&lt;&gt;"",K305&lt;&gt;"None",Q305=""),"Enter the legal deadline",IF(AND(S305&lt;&gt;"",OR(T305="",V305="")),"Record outcome and root cause",IF(AND(P305="",S305="",Settings!$B$4&gt;O305),"Acknowledgment overdue",""))))))))</f>
        <v/>
      </c>
    </row>
    <row r="306" ht="15.75" customHeight="1" s="31">
      <c r="A306" s="44" t="n"/>
      <c r="B306" s="45" t="n"/>
      <c r="C306" s="45" t="n"/>
      <c r="D306" s="44" t="n"/>
      <c r="E306" s="44" t="n"/>
      <c r="F306" s="44" t="n"/>
      <c r="G306" s="44" t="n"/>
      <c r="H306" s="44" t="n"/>
      <c r="I306" s="44" t="n"/>
      <c r="J306" s="44" t="n"/>
      <c r="K306" s="44" t="n"/>
      <c r="L306" s="41">
        <f>IF(B306="","",IF(OR(COUNTIF(Settings!$E$4:$E$9,D306)&gt;0,I306="Yes",J306="Yes",K306="Fair lending allegation"),"Escalated","Standard"))</f>
        <v/>
      </c>
      <c r="M306" s="45" t="n"/>
      <c r="N306" s="45" t="n"/>
      <c r="O306" s="42">
        <f>IF(B306="","",WORKDAY(B306,Settings!$B$7))</f>
        <v/>
      </c>
      <c r="P306" s="45" t="n"/>
      <c r="Q306" s="45" t="n"/>
      <c r="R306" s="42">
        <f>IF(B306="","",IF(Q306&lt;&gt;"",MIN(Q306,IF(L306="Escalated",B306+Settings!$B$9,WORKDAY(B306,Settings!$B$8))),IF(L306="Escalated",B306+Settings!$B$9,WORKDAY(B306,Settings!$B$8))))</f>
        <v/>
      </c>
      <c r="S306" s="45" t="n"/>
      <c r="T306" s="44" t="n"/>
      <c r="U306" s="46" t="n"/>
      <c r="V306" s="44" t="n"/>
      <c r="W306" s="44" t="n"/>
      <c r="X306" s="44" t="n"/>
      <c r="Y306" s="41">
        <f>IF(B306="","",IF(S306&lt;&gt;"",S306,Settings!$B$4)-B306)</f>
        <v/>
      </c>
      <c r="Z306" s="41">
        <f>IF(B306="","",IF(S306&lt;&gt;"",IF(S306&gt;R306,"Closed late","Closed on time"),IF(Settings!$B$4&gt;R306,"Open: overdue","Open")))</f>
        <v/>
      </c>
      <c r="AA306" s="41">
        <f>IF(B306="","",IF(NETWORKDAYS(B306,C306)-1&gt;Settings!$B$5,"Logged late",IF(AND(L306="Escalated",M306=""),"Escalate to Compliance",IF(AND(L306="Escalated",N306=""),"Notify Sponsor Bank",IF(AND(L306="Escalated",N306&lt;&gt;"",NETWORKDAYS(B306,N306)-1&gt;Settings!$B$10),"Sponsor Bank notified late",IF(AND(K306&lt;&gt;"",K306&lt;&gt;"None",Q306=""),"Enter the legal deadline",IF(AND(S306&lt;&gt;"",OR(T306="",V306="")),"Record outcome and root cause",IF(AND(P306="",S306="",Settings!$B$4&gt;O306),"Acknowledgment overdue",""))))))))</f>
        <v/>
      </c>
    </row>
    <row r="307" ht="15.75" customHeight="1" s="31">
      <c r="A307" s="44" t="n"/>
      <c r="B307" s="45" t="n"/>
      <c r="C307" s="45" t="n"/>
      <c r="D307" s="44" t="n"/>
      <c r="E307" s="44" t="n"/>
      <c r="F307" s="44" t="n"/>
      <c r="G307" s="44" t="n"/>
      <c r="H307" s="44" t="n"/>
      <c r="I307" s="44" t="n"/>
      <c r="J307" s="44" t="n"/>
      <c r="K307" s="44" t="n"/>
      <c r="L307" s="41">
        <f>IF(B307="","",IF(OR(COUNTIF(Settings!$E$4:$E$9,D307)&gt;0,I307="Yes",J307="Yes",K307="Fair lending allegation"),"Escalated","Standard"))</f>
        <v/>
      </c>
      <c r="M307" s="45" t="n"/>
      <c r="N307" s="45" t="n"/>
      <c r="O307" s="42">
        <f>IF(B307="","",WORKDAY(B307,Settings!$B$7))</f>
        <v/>
      </c>
      <c r="P307" s="45" t="n"/>
      <c r="Q307" s="45" t="n"/>
      <c r="R307" s="42">
        <f>IF(B307="","",IF(Q307&lt;&gt;"",MIN(Q307,IF(L307="Escalated",B307+Settings!$B$9,WORKDAY(B307,Settings!$B$8))),IF(L307="Escalated",B307+Settings!$B$9,WORKDAY(B307,Settings!$B$8))))</f>
        <v/>
      </c>
      <c r="S307" s="45" t="n"/>
      <c r="T307" s="44" t="n"/>
      <c r="U307" s="46" t="n"/>
      <c r="V307" s="44" t="n"/>
      <c r="W307" s="44" t="n"/>
      <c r="X307" s="44" t="n"/>
      <c r="Y307" s="41">
        <f>IF(B307="","",IF(S307&lt;&gt;"",S307,Settings!$B$4)-B307)</f>
        <v/>
      </c>
      <c r="Z307" s="41">
        <f>IF(B307="","",IF(S307&lt;&gt;"",IF(S307&gt;R307,"Closed late","Closed on time"),IF(Settings!$B$4&gt;R307,"Open: overdue","Open")))</f>
        <v/>
      </c>
      <c r="AA307" s="41">
        <f>IF(B307="","",IF(NETWORKDAYS(B307,C307)-1&gt;Settings!$B$5,"Logged late",IF(AND(L307="Escalated",M307=""),"Escalate to Compliance",IF(AND(L307="Escalated",N307=""),"Notify Sponsor Bank",IF(AND(L307="Escalated",N307&lt;&gt;"",NETWORKDAYS(B307,N307)-1&gt;Settings!$B$10),"Sponsor Bank notified late",IF(AND(K307&lt;&gt;"",K307&lt;&gt;"None",Q307=""),"Enter the legal deadline",IF(AND(S307&lt;&gt;"",OR(T307="",V307="")),"Record outcome and root cause",IF(AND(P307="",S307="",Settings!$B$4&gt;O307),"Acknowledgment overdue",""))))))))</f>
        <v/>
      </c>
    </row>
    <row r="308" ht="15.75" customHeight="1" s="31">
      <c r="A308" s="44" t="n"/>
      <c r="B308" s="45" t="n"/>
      <c r="C308" s="45" t="n"/>
      <c r="D308" s="44" t="n"/>
      <c r="E308" s="44" t="n"/>
      <c r="F308" s="44" t="n"/>
      <c r="G308" s="44" t="n"/>
      <c r="H308" s="44" t="n"/>
      <c r="I308" s="44" t="n"/>
      <c r="J308" s="44" t="n"/>
      <c r="K308" s="44" t="n"/>
      <c r="L308" s="41">
        <f>IF(B308="","",IF(OR(COUNTIF(Settings!$E$4:$E$9,D308)&gt;0,I308="Yes",J308="Yes",K308="Fair lending allegation"),"Escalated","Standard"))</f>
        <v/>
      </c>
      <c r="M308" s="45" t="n"/>
      <c r="N308" s="45" t="n"/>
      <c r="O308" s="42">
        <f>IF(B308="","",WORKDAY(B308,Settings!$B$7))</f>
        <v/>
      </c>
      <c r="P308" s="45" t="n"/>
      <c r="Q308" s="45" t="n"/>
      <c r="R308" s="42">
        <f>IF(B308="","",IF(Q308&lt;&gt;"",MIN(Q308,IF(L308="Escalated",B308+Settings!$B$9,WORKDAY(B308,Settings!$B$8))),IF(L308="Escalated",B308+Settings!$B$9,WORKDAY(B308,Settings!$B$8))))</f>
        <v/>
      </c>
      <c r="S308" s="45" t="n"/>
      <c r="T308" s="44" t="n"/>
      <c r="U308" s="46" t="n"/>
      <c r="V308" s="44" t="n"/>
      <c r="W308" s="44" t="n"/>
      <c r="X308" s="44" t="n"/>
      <c r="Y308" s="41">
        <f>IF(B308="","",IF(S308&lt;&gt;"",S308,Settings!$B$4)-B308)</f>
        <v/>
      </c>
      <c r="Z308" s="41">
        <f>IF(B308="","",IF(S308&lt;&gt;"",IF(S308&gt;R308,"Closed late","Closed on time"),IF(Settings!$B$4&gt;R308,"Open: overdue","Open")))</f>
        <v/>
      </c>
      <c r="AA308" s="41">
        <f>IF(B308="","",IF(NETWORKDAYS(B308,C308)-1&gt;Settings!$B$5,"Logged late",IF(AND(L308="Escalated",M308=""),"Escalate to Compliance",IF(AND(L308="Escalated",N308=""),"Notify Sponsor Bank",IF(AND(L308="Escalated",N308&lt;&gt;"",NETWORKDAYS(B308,N308)-1&gt;Settings!$B$10),"Sponsor Bank notified late",IF(AND(K308&lt;&gt;"",K308&lt;&gt;"None",Q308=""),"Enter the legal deadline",IF(AND(S308&lt;&gt;"",OR(T308="",V308="")),"Record outcome and root cause",IF(AND(P308="",S308="",Settings!$B$4&gt;O308),"Acknowledgment overdue",""))))))))</f>
        <v/>
      </c>
    </row>
    <row r="309" ht="15.75" customHeight="1" s="31">
      <c r="A309" s="44" t="n"/>
      <c r="B309" s="45" t="n"/>
      <c r="C309" s="45" t="n"/>
      <c r="D309" s="44" t="n"/>
      <c r="E309" s="44" t="n"/>
      <c r="F309" s="44" t="n"/>
      <c r="G309" s="44" t="n"/>
      <c r="H309" s="44" t="n"/>
      <c r="I309" s="44" t="n"/>
      <c r="J309" s="44" t="n"/>
      <c r="K309" s="44" t="n"/>
      <c r="L309" s="41">
        <f>IF(B309="","",IF(OR(COUNTIF(Settings!$E$4:$E$9,D309)&gt;0,I309="Yes",J309="Yes",K309="Fair lending allegation"),"Escalated","Standard"))</f>
        <v/>
      </c>
      <c r="M309" s="45" t="n"/>
      <c r="N309" s="45" t="n"/>
      <c r="O309" s="42">
        <f>IF(B309="","",WORKDAY(B309,Settings!$B$7))</f>
        <v/>
      </c>
      <c r="P309" s="45" t="n"/>
      <c r="Q309" s="45" t="n"/>
      <c r="R309" s="42">
        <f>IF(B309="","",IF(Q309&lt;&gt;"",MIN(Q309,IF(L309="Escalated",B309+Settings!$B$9,WORKDAY(B309,Settings!$B$8))),IF(L309="Escalated",B309+Settings!$B$9,WORKDAY(B309,Settings!$B$8))))</f>
        <v/>
      </c>
      <c r="S309" s="45" t="n"/>
      <c r="T309" s="44" t="n"/>
      <c r="U309" s="46" t="n"/>
      <c r="V309" s="44" t="n"/>
      <c r="W309" s="44" t="n"/>
      <c r="X309" s="44" t="n"/>
      <c r="Y309" s="41">
        <f>IF(B309="","",IF(S309&lt;&gt;"",S309,Settings!$B$4)-B309)</f>
        <v/>
      </c>
      <c r="Z309" s="41">
        <f>IF(B309="","",IF(S309&lt;&gt;"",IF(S309&gt;R309,"Closed late","Closed on time"),IF(Settings!$B$4&gt;R309,"Open: overdue","Open")))</f>
        <v/>
      </c>
      <c r="AA309" s="41">
        <f>IF(B309="","",IF(NETWORKDAYS(B309,C309)-1&gt;Settings!$B$5,"Logged late",IF(AND(L309="Escalated",M309=""),"Escalate to Compliance",IF(AND(L309="Escalated",N309=""),"Notify Sponsor Bank",IF(AND(L309="Escalated",N309&lt;&gt;"",NETWORKDAYS(B309,N309)-1&gt;Settings!$B$10),"Sponsor Bank notified late",IF(AND(K309&lt;&gt;"",K309&lt;&gt;"None",Q309=""),"Enter the legal deadline",IF(AND(S309&lt;&gt;"",OR(T309="",V309="")),"Record outcome and root cause",IF(AND(P309="",S309="",Settings!$B$4&gt;O309),"Acknowledgment overdue",""))))))))</f>
        <v/>
      </c>
    </row>
    <row r="310" ht="15.75" customHeight="1" s="31">
      <c r="A310" s="44" t="n"/>
      <c r="B310" s="45" t="n"/>
      <c r="C310" s="45" t="n"/>
      <c r="D310" s="44" t="n"/>
      <c r="E310" s="44" t="n"/>
      <c r="F310" s="44" t="n"/>
      <c r="G310" s="44" t="n"/>
      <c r="H310" s="44" t="n"/>
      <c r="I310" s="44" t="n"/>
      <c r="J310" s="44" t="n"/>
      <c r="K310" s="44" t="n"/>
      <c r="L310" s="41">
        <f>IF(B310="","",IF(OR(COUNTIF(Settings!$E$4:$E$9,D310)&gt;0,I310="Yes",J310="Yes",K310="Fair lending allegation"),"Escalated","Standard"))</f>
        <v/>
      </c>
      <c r="M310" s="45" t="n"/>
      <c r="N310" s="45" t="n"/>
      <c r="O310" s="42">
        <f>IF(B310="","",WORKDAY(B310,Settings!$B$7))</f>
        <v/>
      </c>
      <c r="P310" s="45" t="n"/>
      <c r="Q310" s="45" t="n"/>
      <c r="R310" s="42">
        <f>IF(B310="","",IF(Q310&lt;&gt;"",MIN(Q310,IF(L310="Escalated",B310+Settings!$B$9,WORKDAY(B310,Settings!$B$8))),IF(L310="Escalated",B310+Settings!$B$9,WORKDAY(B310,Settings!$B$8))))</f>
        <v/>
      </c>
      <c r="S310" s="45" t="n"/>
      <c r="T310" s="44" t="n"/>
      <c r="U310" s="46" t="n"/>
      <c r="V310" s="44" t="n"/>
      <c r="W310" s="44" t="n"/>
      <c r="X310" s="44" t="n"/>
      <c r="Y310" s="41">
        <f>IF(B310="","",IF(S310&lt;&gt;"",S310,Settings!$B$4)-B310)</f>
        <v/>
      </c>
      <c r="Z310" s="41">
        <f>IF(B310="","",IF(S310&lt;&gt;"",IF(S310&gt;R310,"Closed late","Closed on time"),IF(Settings!$B$4&gt;R310,"Open: overdue","Open")))</f>
        <v/>
      </c>
      <c r="AA310" s="41">
        <f>IF(B310="","",IF(NETWORKDAYS(B310,C310)-1&gt;Settings!$B$5,"Logged late",IF(AND(L310="Escalated",M310=""),"Escalate to Compliance",IF(AND(L310="Escalated",N310=""),"Notify Sponsor Bank",IF(AND(L310="Escalated",N310&lt;&gt;"",NETWORKDAYS(B310,N310)-1&gt;Settings!$B$10),"Sponsor Bank notified late",IF(AND(K310&lt;&gt;"",K310&lt;&gt;"None",Q310=""),"Enter the legal deadline",IF(AND(S310&lt;&gt;"",OR(T310="",V310="")),"Record outcome and root cause",IF(AND(P310="",S310="",Settings!$B$4&gt;O310),"Acknowledgment overdue",""))))))))</f>
        <v/>
      </c>
    </row>
    <row r="311" ht="15.75" customHeight="1" s="31">
      <c r="A311" s="44" t="n"/>
      <c r="B311" s="45" t="n"/>
      <c r="C311" s="45" t="n"/>
      <c r="D311" s="44" t="n"/>
      <c r="E311" s="44" t="n"/>
      <c r="F311" s="44" t="n"/>
      <c r="G311" s="44" t="n"/>
      <c r="H311" s="44" t="n"/>
      <c r="I311" s="44" t="n"/>
      <c r="J311" s="44" t="n"/>
      <c r="K311" s="44" t="n"/>
      <c r="L311" s="41">
        <f>IF(B311="","",IF(OR(COUNTIF(Settings!$E$4:$E$9,D311)&gt;0,I311="Yes",J311="Yes",K311="Fair lending allegation"),"Escalated","Standard"))</f>
        <v/>
      </c>
      <c r="M311" s="45" t="n"/>
      <c r="N311" s="45" t="n"/>
      <c r="O311" s="42">
        <f>IF(B311="","",WORKDAY(B311,Settings!$B$7))</f>
        <v/>
      </c>
      <c r="P311" s="45" t="n"/>
      <c r="Q311" s="45" t="n"/>
      <c r="R311" s="42">
        <f>IF(B311="","",IF(Q311&lt;&gt;"",MIN(Q311,IF(L311="Escalated",B311+Settings!$B$9,WORKDAY(B311,Settings!$B$8))),IF(L311="Escalated",B311+Settings!$B$9,WORKDAY(B311,Settings!$B$8))))</f>
        <v/>
      </c>
      <c r="S311" s="45" t="n"/>
      <c r="T311" s="44" t="n"/>
      <c r="U311" s="46" t="n"/>
      <c r="V311" s="44" t="n"/>
      <c r="W311" s="44" t="n"/>
      <c r="X311" s="44" t="n"/>
      <c r="Y311" s="41">
        <f>IF(B311="","",IF(S311&lt;&gt;"",S311,Settings!$B$4)-B311)</f>
        <v/>
      </c>
      <c r="Z311" s="41">
        <f>IF(B311="","",IF(S311&lt;&gt;"",IF(S311&gt;R311,"Closed late","Closed on time"),IF(Settings!$B$4&gt;R311,"Open: overdue","Open")))</f>
        <v/>
      </c>
      <c r="AA311" s="41">
        <f>IF(B311="","",IF(NETWORKDAYS(B311,C311)-1&gt;Settings!$B$5,"Logged late",IF(AND(L311="Escalated",M311=""),"Escalate to Compliance",IF(AND(L311="Escalated",N311=""),"Notify Sponsor Bank",IF(AND(L311="Escalated",N311&lt;&gt;"",NETWORKDAYS(B311,N311)-1&gt;Settings!$B$10),"Sponsor Bank notified late",IF(AND(K311&lt;&gt;"",K311&lt;&gt;"None",Q311=""),"Enter the legal deadline",IF(AND(S311&lt;&gt;"",OR(T311="",V311="")),"Record outcome and root cause",IF(AND(P311="",S311="",Settings!$B$4&gt;O311),"Acknowledgment overdue",""))))))))</f>
        <v/>
      </c>
    </row>
    <row r="312" ht="15.75" customHeight="1" s="31">
      <c r="A312" s="44" t="n"/>
      <c r="B312" s="45" t="n"/>
      <c r="C312" s="45" t="n"/>
      <c r="D312" s="44" t="n"/>
      <c r="E312" s="44" t="n"/>
      <c r="F312" s="44" t="n"/>
      <c r="G312" s="44" t="n"/>
      <c r="H312" s="44" t="n"/>
      <c r="I312" s="44" t="n"/>
      <c r="J312" s="44" t="n"/>
      <c r="K312" s="44" t="n"/>
      <c r="L312" s="41">
        <f>IF(B312="","",IF(OR(COUNTIF(Settings!$E$4:$E$9,D312)&gt;0,I312="Yes",J312="Yes",K312="Fair lending allegation"),"Escalated","Standard"))</f>
        <v/>
      </c>
      <c r="M312" s="45" t="n"/>
      <c r="N312" s="45" t="n"/>
      <c r="O312" s="42">
        <f>IF(B312="","",WORKDAY(B312,Settings!$B$7))</f>
        <v/>
      </c>
      <c r="P312" s="45" t="n"/>
      <c r="Q312" s="45" t="n"/>
      <c r="R312" s="42">
        <f>IF(B312="","",IF(Q312&lt;&gt;"",MIN(Q312,IF(L312="Escalated",B312+Settings!$B$9,WORKDAY(B312,Settings!$B$8))),IF(L312="Escalated",B312+Settings!$B$9,WORKDAY(B312,Settings!$B$8))))</f>
        <v/>
      </c>
      <c r="S312" s="45" t="n"/>
      <c r="T312" s="44" t="n"/>
      <c r="U312" s="46" t="n"/>
      <c r="V312" s="44" t="n"/>
      <c r="W312" s="44" t="n"/>
      <c r="X312" s="44" t="n"/>
      <c r="Y312" s="41">
        <f>IF(B312="","",IF(S312&lt;&gt;"",S312,Settings!$B$4)-B312)</f>
        <v/>
      </c>
      <c r="Z312" s="41">
        <f>IF(B312="","",IF(S312&lt;&gt;"",IF(S312&gt;R312,"Closed late","Closed on time"),IF(Settings!$B$4&gt;R312,"Open: overdue","Open")))</f>
        <v/>
      </c>
      <c r="AA312" s="41">
        <f>IF(B312="","",IF(NETWORKDAYS(B312,C312)-1&gt;Settings!$B$5,"Logged late",IF(AND(L312="Escalated",M312=""),"Escalate to Compliance",IF(AND(L312="Escalated",N312=""),"Notify Sponsor Bank",IF(AND(L312="Escalated",N312&lt;&gt;"",NETWORKDAYS(B312,N312)-1&gt;Settings!$B$10),"Sponsor Bank notified late",IF(AND(K312&lt;&gt;"",K312&lt;&gt;"None",Q312=""),"Enter the legal deadline",IF(AND(S312&lt;&gt;"",OR(T312="",V312="")),"Record outcome and root cause",IF(AND(P312="",S312="",Settings!$B$4&gt;O312),"Acknowledgment overdue",""))))))))</f>
        <v/>
      </c>
    </row>
    <row r="313" ht="15.75" customHeight="1" s="31">
      <c r="A313" s="44" t="n"/>
      <c r="B313" s="45" t="n"/>
      <c r="C313" s="45" t="n"/>
      <c r="D313" s="44" t="n"/>
      <c r="E313" s="44" t="n"/>
      <c r="F313" s="44" t="n"/>
      <c r="G313" s="44" t="n"/>
      <c r="H313" s="44" t="n"/>
      <c r="I313" s="44" t="n"/>
      <c r="J313" s="44" t="n"/>
      <c r="K313" s="44" t="n"/>
      <c r="L313" s="41">
        <f>IF(B313="","",IF(OR(COUNTIF(Settings!$E$4:$E$9,D313)&gt;0,I313="Yes",J313="Yes",K313="Fair lending allegation"),"Escalated","Standard"))</f>
        <v/>
      </c>
      <c r="M313" s="45" t="n"/>
      <c r="N313" s="45" t="n"/>
      <c r="O313" s="42">
        <f>IF(B313="","",WORKDAY(B313,Settings!$B$7))</f>
        <v/>
      </c>
      <c r="P313" s="45" t="n"/>
      <c r="Q313" s="45" t="n"/>
      <c r="R313" s="42">
        <f>IF(B313="","",IF(Q313&lt;&gt;"",MIN(Q313,IF(L313="Escalated",B313+Settings!$B$9,WORKDAY(B313,Settings!$B$8))),IF(L313="Escalated",B313+Settings!$B$9,WORKDAY(B313,Settings!$B$8))))</f>
        <v/>
      </c>
      <c r="S313" s="45" t="n"/>
      <c r="T313" s="44" t="n"/>
      <c r="U313" s="46" t="n"/>
      <c r="V313" s="44" t="n"/>
      <c r="W313" s="44" t="n"/>
      <c r="X313" s="44" t="n"/>
      <c r="Y313" s="41">
        <f>IF(B313="","",IF(S313&lt;&gt;"",S313,Settings!$B$4)-B313)</f>
        <v/>
      </c>
      <c r="Z313" s="41">
        <f>IF(B313="","",IF(S313&lt;&gt;"",IF(S313&gt;R313,"Closed late","Closed on time"),IF(Settings!$B$4&gt;R313,"Open: overdue","Open")))</f>
        <v/>
      </c>
      <c r="AA313" s="41">
        <f>IF(B313="","",IF(NETWORKDAYS(B313,C313)-1&gt;Settings!$B$5,"Logged late",IF(AND(L313="Escalated",M313=""),"Escalate to Compliance",IF(AND(L313="Escalated",N313=""),"Notify Sponsor Bank",IF(AND(L313="Escalated",N313&lt;&gt;"",NETWORKDAYS(B313,N313)-1&gt;Settings!$B$10),"Sponsor Bank notified late",IF(AND(K313&lt;&gt;"",K313&lt;&gt;"None",Q313=""),"Enter the legal deadline",IF(AND(S313&lt;&gt;"",OR(T313="",V313="")),"Record outcome and root cause",IF(AND(P313="",S313="",Settings!$B$4&gt;O313),"Acknowledgment overdue",""))))))))</f>
        <v/>
      </c>
    </row>
    <row r="314" ht="15.75" customHeight="1" s="31">
      <c r="A314" s="44" t="n"/>
      <c r="B314" s="45" t="n"/>
      <c r="C314" s="45" t="n"/>
      <c r="D314" s="44" t="n"/>
      <c r="E314" s="44" t="n"/>
      <c r="F314" s="44" t="n"/>
      <c r="G314" s="44" t="n"/>
      <c r="H314" s="44" t="n"/>
      <c r="I314" s="44" t="n"/>
      <c r="J314" s="44" t="n"/>
      <c r="K314" s="44" t="n"/>
      <c r="L314" s="41">
        <f>IF(B314="","",IF(OR(COUNTIF(Settings!$E$4:$E$9,D314)&gt;0,I314="Yes",J314="Yes",K314="Fair lending allegation"),"Escalated","Standard"))</f>
        <v/>
      </c>
      <c r="M314" s="45" t="n"/>
      <c r="N314" s="45" t="n"/>
      <c r="O314" s="42">
        <f>IF(B314="","",WORKDAY(B314,Settings!$B$7))</f>
        <v/>
      </c>
      <c r="P314" s="45" t="n"/>
      <c r="Q314" s="45" t="n"/>
      <c r="R314" s="42">
        <f>IF(B314="","",IF(Q314&lt;&gt;"",MIN(Q314,IF(L314="Escalated",B314+Settings!$B$9,WORKDAY(B314,Settings!$B$8))),IF(L314="Escalated",B314+Settings!$B$9,WORKDAY(B314,Settings!$B$8))))</f>
        <v/>
      </c>
      <c r="S314" s="45" t="n"/>
      <c r="T314" s="44" t="n"/>
      <c r="U314" s="46" t="n"/>
      <c r="V314" s="44" t="n"/>
      <c r="W314" s="44" t="n"/>
      <c r="X314" s="44" t="n"/>
      <c r="Y314" s="41">
        <f>IF(B314="","",IF(S314&lt;&gt;"",S314,Settings!$B$4)-B314)</f>
        <v/>
      </c>
      <c r="Z314" s="41">
        <f>IF(B314="","",IF(S314&lt;&gt;"",IF(S314&gt;R314,"Closed late","Closed on time"),IF(Settings!$B$4&gt;R314,"Open: overdue","Open")))</f>
        <v/>
      </c>
      <c r="AA314" s="41">
        <f>IF(B314="","",IF(NETWORKDAYS(B314,C314)-1&gt;Settings!$B$5,"Logged late",IF(AND(L314="Escalated",M314=""),"Escalate to Compliance",IF(AND(L314="Escalated",N314=""),"Notify Sponsor Bank",IF(AND(L314="Escalated",N314&lt;&gt;"",NETWORKDAYS(B314,N314)-1&gt;Settings!$B$10),"Sponsor Bank notified late",IF(AND(K314&lt;&gt;"",K314&lt;&gt;"None",Q314=""),"Enter the legal deadline",IF(AND(S314&lt;&gt;"",OR(T314="",V314="")),"Record outcome and root cause",IF(AND(P314="",S314="",Settings!$B$4&gt;O314),"Acknowledgment overdue",""))))))))</f>
        <v/>
      </c>
    </row>
    <row r="315" ht="15.75" customHeight="1" s="31">
      <c r="A315" s="44" t="n"/>
      <c r="B315" s="45" t="n"/>
      <c r="C315" s="45" t="n"/>
      <c r="D315" s="44" t="n"/>
      <c r="E315" s="44" t="n"/>
      <c r="F315" s="44" t="n"/>
      <c r="G315" s="44" t="n"/>
      <c r="H315" s="44" t="n"/>
      <c r="I315" s="44" t="n"/>
      <c r="J315" s="44" t="n"/>
      <c r="K315" s="44" t="n"/>
      <c r="L315" s="41">
        <f>IF(B315="","",IF(OR(COUNTIF(Settings!$E$4:$E$9,D315)&gt;0,I315="Yes",J315="Yes",K315="Fair lending allegation"),"Escalated","Standard"))</f>
        <v/>
      </c>
      <c r="M315" s="45" t="n"/>
      <c r="N315" s="45" t="n"/>
      <c r="O315" s="42">
        <f>IF(B315="","",WORKDAY(B315,Settings!$B$7))</f>
        <v/>
      </c>
      <c r="P315" s="45" t="n"/>
      <c r="Q315" s="45" t="n"/>
      <c r="R315" s="42">
        <f>IF(B315="","",IF(Q315&lt;&gt;"",MIN(Q315,IF(L315="Escalated",B315+Settings!$B$9,WORKDAY(B315,Settings!$B$8))),IF(L315="Escalated",B315+Settings!$B$9,WORKDAY(B315,Settings!$B$8))))</f>
        <v/>
      </c>
      <c r="S315" s="45" t="n"/>
      <c r="T315" s="44" t="n"/>
      <c r="U315" s="46" t="n"/>
      <c r="V315" s="44" t="n"/>
      <c r="W315" s="44" t="n"/>
      <c r="X315" s="44" t="n"/>
      <c r="Y315" s="41">
        <f>IF(B315="","",IF(S315&lt;&gt;"",S315,Settings!$B$4)-B315)</f>
        <v/>
      </c>
      <c r="Z315" s="41">
        <f>IF(B315="","",IF(S315&lt;&gt;"",IF(S315&gt;R315,"Closed late","Closed on time"),IF(Settings!$B$4&gt;R315,"Open: overdue","Open")))</f>
        <v/>
      </c>
      <c r="AA315" s="41">
        <f>IF(B315="","",IF(NETWORKDAYS(B315,C315)-1&gt;Settings!$B$5,"Logged late",IF(AND(L315="Escalated",M315=""),"Escalate to Compliance",IF(AND(L315="Escalated",N315=""),"Notify Sponsor Bank",IF(AND(L315="Escalated",N315&lt;&gt;"",NETWORKDAYS(B315,N315)-1&gt;Settings!$B$10),"Sponsor Bank notified late",IF(AND(K315&lt;&gt;"",K315&lt;&gt;"None",Q315=""),"Enter the legal deadline",IF(AND(S315&lt;&gt;"",OR(T315="",V315="")),"Record outcome and root cause",IF(AND(P315="",S315="",Settings!$B$4&gt;O315),"Acknowledgment overdue",""))))))))</f>
        <v/>
      </c>
    </row>
    <row r="316" ht="15.75" customHeight="1" s="31">
      <c r="A316" s="44" t="n"/>
      <c r="B316" s="45" t="n"/>
      <c r="C316" s="45" t="n"/>
      <c r="D316" s="44" t="n"/>
      <c r="E316" s="44" t="n"/>
      <c r="F316" s="44" t="n"/>
      <c r="G316" s="44" t="n"/>
      <c r="H316" s="44" t="n"/>
      <c r="I316" s="44" t="n"/>
      <c r="J316" s="44" t="n"/>
      <c r="K316" s="44" t="n"/>
      <c r="L316" s="41">
        <f>IF(B316="","",IF(OR(COUNTIF(Settings!$E$4:$E$9,D316)&gt;0,I316="Yes",J316="Yes",K316="Fair lending allegation"),"Escalated","Standard"))</f>
        <v/>
      </c>
      <c r="M316" s="45" t="n"/>
      <c r="N316" s="45" t="n"/>
      <c r="O316" s="42">
        <f>IF(B316="","",WORKDAY(B316,Settings!$B$7))</f>
        <v/>
      </c>
      <c r="P316" s="45" t="n"/>
      <c r="Q316" s="45" t="n"/>
      <c r="R316" s="42">
        <f>IF(B316="","",IF(Q316&lt;&gt;"",MIN(Q316,IF(L316="Escalated",B316+Settings!$B$9,WORKDAY(B316,Settings!$B$8))),IF(L316="Escalated",B316+Settings!$B$9,WORKDAY(B316,Settings!$B$8))))</f>
        <v/>
      </c>
      <c r="S316" s="45" t="n"/>
      <c r="T316" s="44" t="n"/>
      <c r="U316" s="46" t="n"/>
      <c r="V316" s="44" t="n"/>
      <c r="W316" s="44" t="n"/>
      <c r="X316" s="44" t="n"/>
      <c r="Y316" s="41">
        <f>IF(B316="","",IF(S316&lt;&gt;"",S316,Settings!$B$4)-B316)</f>
        <v/>
      </c>
      <c r="Z316" s="41">
        <f>IF(B316="","",IF(S316&lt;&gt;"",IF(S316&gt;R316,"Closed late","Closed on time"),IF(Settings!$B$4&gt;R316,"Open: overdue","Open")))</f>
        <v/>
      </c>
      <c r="AA316" s="41">
        <f>IF(B316="","",IF(NETWORKDAYS(B316,C316)-1&gt;Settings!$B$5,"Logged late",IF(AND(L316="Escalated",M316=""),"Escalate to Compliance",IF(AND(L316="Escalated",N316=""),"Notify Sponsor Bank",IF(AND(L316="Escalated",N316&lt;&gt;"",NETWORKDAYS(B316,N316)-1&gt;Settings!$B$10),"Sponsor Bank notified late",IF(AND(K316&lt;&gt;"",K316&lt;&gt;"None",Q316=""),"Enter the legal deadline",IF(AND(S316&lt;&gt;"",OR(T316="",V316="")),"Record outcome and root cause",IF(AND(P316="",S316="",Settings!$B$4&gt;O316),"Acknowledgment overdue",""))))))))</f>
        <v/>
      </c>
    </row>
    <row r="317" ht="15.75" customHeight="1" s="31">
      <c r="A317" s="44" t="n"/>
      <c r="B317" s="45" t="n"/>
      <c r="C317" s="45" t="n"/>
      <c r="D317" s="44" t="n"/>
      <c r="E317" s="44" t="n"/>
      <c r="F317" s="44" t="n"/>
      <c r="G317" s="44" t="n"/>
      <c r="H317" s="44" t="n"/>
      <c r="I317" s="44" t="n"/>
      <c r="J317" s="44" t="n"/>
      <c r="K317" s="44" t="n"/>
      <c r="L317" s="41">
        <f>IF(B317="","",IF(OR(COUNTIF(Settings!$E$4:$E$9,D317)&gt;0,I317="Yes",J317="Yes",K317="Fair lending allegation"),"Escalated","Standard"))</f>
        <v/>
      </c>
      <c r="M317" s="45" t="n"/>
      <c r="N317" s="45" t="n"/>
      <c r="O317" s="42">
        <f>IF(B317="","",WORKDAY(B317,Settings!$B$7))</f>
        <v/>
      </c>
      <c r="P317" s="45" t="n"/>
      <c r="Q317" s="45" t="n"/>
      <c r="R317" s="42">
        <f>IF(B317="","",IF(Q317&lt;&gt;"",MIN(Q317,IF(L317="Escalated",B317+Settings!$B$9,WORKDAY(B317,Settings!$B$8))),IF(L317="Escalated",B317+Settings!$B$9,WORKDAY(B317,Settings!$B$8))))</f>
        <v/>
      </c>
      <c r="S317" s="45" t="n"/>
      <c r="T317" s="44" t="n"/>
      <c r="U317" s="46" t="n"/>
      <c r="V317" s="44" t="n"/>
      <c r="W317" s="44" t="n"/>
      <c r="X317" s="44" t="n"/>
      <c r="Y317" s="41">
        <f>IF(B317="","",IF(S317&lt;&gt;"",S317,Settings!$B$4)-B317)</f>
        <v/>
      </c>
      <c r="Z317" s="41">
        <f>IF(B317="","",IF(S317&lt;&gt;"",IF(S317&gt;R317,"Closed late","Closed on time"),IF(Settings!$B$4&gt;R317,"Open: overdue","Open")))</f>
        <v/>
      </c>
      <c r="AA317" s="41">
        <f>IF(B317="","",IF(NETWORKDAYS(B317,C317)-1&gt;Settings!$B$5,"Logged late",IF(AND(L317="Escalated",M317=""),"Escalate to Compliance",IF(AND(L317="Escalated",N317=""),"Notify Sponsor Bank",IF(AND(L317="Escalated",N317&lt;&gt;"",NETWORKDAYS(B317,N317)-1&gt;Settings!$B$10),"Sponsor Bank notified late",IF(AND(K317&lt;&gt;"",K317&lt;&gt;"None",Q317=""),"Enter the legal deadline",IF(AND(S317&lt;&gt;"",OR(T317="",V317="")),"Record outcome and root cause",IF(AND(P317="",S317="",Settings!$B$4&gt;O317),"Acknowledgment overdue",""))))))))</f>
        <v/>
      </c>
    </row>
    <row r="318" ht="15.75" customHeight="1" s="31">
      <c r="A318" s="44" t="n"/>
      <c r="B318" s="45" t="n"/>
      <c r="C318" s="45" t="n"/>
      <c r="D318" s="44" t="n"/>
      <c r="E318" s="44" t="n"/>
      <c r="F318" s="44" t="n"/>
      <c r="G318" s="44" t="n"/>
      <c r="H318" s="44" t="n"/>
      <c r="I318" s="44" t="n"/>
      <c r="J318" s="44" t="n"/>
      <c r="K318" s="44" t="n"/>
      <c r="L318" s="41">
        <f>IF(B318="","",IF(OR(COUNTIF(Settings!$E$4:$E$9,D318)&gt;0,I318="Yes",J318="Yes",K318="Fair lending allegation"),"Escalated","Standard"))</f>
        <v/>
      </c>
      <c r="M318" s="45" t="n"/>
      <c r="N318" s="45" t="n"/>
      <c r="O318" s="42">
        <f>IF(B318="","",WORKDAY(B318,Settings!$B$7))</f>
        <v/>
      </c>
      <c r="P318" s="45" t="n"/>
      <c r="Q318" s="45" t="n"/>
      <c r="R318" s="42">
        <f>IF(B318="","",IF(Q318&lt;&gt;"",MIN(Q318,IF(L318="Escalated",B318+Settings!$B$9,WORKDAY(B318,Settings!$B$8))),IF(L318="Escalated",B318+Settings!$B$9,WORKDAY(B318,Settings!$B$8))))</f>
        <v/>
      </c>
      <c r="S318" s="45" t="n"/>
      <c r="T318" s="44" t="n"/>
      <c r="U318" s="46" t="n"/>
      <c r="V318" s="44" t="n"/>
      <c r="W318" s="44" t="n"/>
      <c r="X318" s="44" t="n"/>
      <c r="Y318" s="41">
        <f>IF(B318="","",IF(S318&lt;&gt;"",S318,Settings!$B$4)-B318)</f>
        <v/>
      </c>
      <c r="Z318" s="41">
        <f>IF(B318="","",IF(S318&lt;&gt;"",IF(S318&gt;R318,"Closed late","Closed on time"),IF(Settings!$B$4&gt;R318,"Open: overdue","Open")))</f>
        <v/>
      </c>
      <c r="AA318" s="41">
        <f>IF(B318="","",IF(NETWORKDAYS(B318,C318)-1&gt;Settings!$B$5,"Logged late",IF(AND(L318="Escalated",M318=""),"Escalate to Compliance",IF(AND(L318="Escalated",N318=""),"Notify Sponsor Bank",IF(AND(L318="Escalated",N318&lt;&gt;"",NETWORKDAYS(B318,N318)-1&gt;Settings!$B$10),"Sponsor Bank notified late",IF(AND(K318&lt;&gt;"",K318&lt;&gt;"None",Q318=""),"Enter the legal deadline",IF(AND(S318&lt;&gt;"",OR(T318="",V318="")),"Record outcome and root cause",IF(AND(P318="",S318="",Settings!$B$4&gt;O318),"Acknowledgment overdue",""))))))))</f>
        <v/>
      </c>
    </row>
    <row r="319" ht="15.75" customHeight="1" s="31">
      <c r="A319" s="44" t="n"/>
      <c r="B319" s="45" t="n"/>
      <c r="C319" s="45" t="n"/>
      <c r="D319" s="44" t="n"/>
      <c r="E319" s="44" t="n"/>
      <c r="F319" s="44" t="n"/>
      <c r="G319" s="44" t="n"/>
      <c r="H319" s="44" t="n"/>
      <c r="I319" s="44" t="n"/>
      <c r="J319" s="44" t="n"/>
      <c r="K319" s="44" t="n"/>
      <c r="L319" s="41">
        <f>IF(B319="","",IF(OR(COUNTIF(Settings!$E$4:$E$9,D319)&gt;0,I319="Yes",J319="Yes",K319="Fair lending allegation"),"Escalated","Standard"))</f>
        <v/>
      </c>
      <c r="M319" s="45" t="n"/>
      <c r="N319" s="45" t="n"/>
      <c r="O319" s="42">
        <f>IF(B319="","",WORKDAY(B319,Settings!$B$7))</f>
        <v/>
      </c>
      <c r="P319" s="45" t="n"/>
      <c r="Q319" s="45" t="n"/>
      <c r="R319" s="42">
        <f>IF(B319="","",IF(Q319&lt;&gt;"",MIN(Q319,IF(L319="Escalated",B319+Settings!$B$9,WORKDAY(B319,Settings!$B$8))),IF(L319="Escalated",B319+Settings!$B$9,WORKDAY(B319,Settings!$B$8))))</f>
        <v/>
      </c>
      <c r="S319" s="45" t="n"/>
      <c r="T319" s="44" t="n"/>
      <c r="U319" s="46" t="n"/>
      <c r="V319" s="44" t="n"/>
      <c r="W319" s="44" t="n"/>
      <c r="X319" s="44" t="n"/>
      <c r="Y319" s="41">
        <f>IF(B319="","",IF(S319&lt;&gt;"",S319,Settings!$B$4)-B319)</f>
        <v/>
      </c>
      <c r="Z319" s="41">
        <f>IF(B319="","",IF(S319&lt;&gt;"",IF(S319&gt;R319,"Closed late","Closed on time"),IF(Settings!$B$4&gt;R319,"Open: overdue","Open")))</f>
        <v/>
      </c>
      <c r="AA319" s="41">
        <f>IF(B319="","",IF(NETWORKDAYS(B319,C319)-1&gt;Settings!$B$5,"Logged late",IF(AND(L319="Escalated",M319=""),"Escalate to Compliance",IF(AND(L319="Escalated",N319=""),"Notify Sponsor Bank",IF(AND(L319="Escalated",N319&lt;&gt;"",NETWORKDAYS(B319,N319)-1&gt;Settings!$B$10),"Sponsor Bank notified late",IF(AND(K319&lt;&gt;"",K319&lt;&gt;"None",Q319=""),"Enter the legal deadline",IF(AND(S319&lt;&gt;"",OR(T319="",V319="")),"Record outcome and root cause",IF(AND(P319="",S319="",Settings!$B$4&gt;O319),"Acknowledgment overdue",""))))))))</f>
        <v/>
      </c>
    </row>
    <row r="320" ht="15.75" customHeight="1" s="31">
      <c r="A320" s="44" t="n"/>
      <c r="B320" s="45" t="n"/>
      <c r="C320" s="45" t="n"/>
      <c r="D320" s="44" t="n"/>
      <c r="E320" s="44" t="n"/>
      <c r="F320" s="44" t="n"/>
      <c r="G320" s="44" t="n"/>
      <c r="H320" s="44" t="n"/>
      <c r="I320" s="44" t="n"/>
      <c r="J320" s="44" t="n"/>
      <c r="K320" s="44" t="n"/>
      <c r="L320" s="41">
        <f>IF(B320="","",IF(OR(COUNTIF(Settings!$E$4:$E$9,D320)&gt;0,I320="Yes",J320="Yes",K320="Fair lending allegation"),"Escalated","Standard"))</f>
        <v/>
      </c>
      <c r="M320" s="45" t="n"/>
      <c r="N320" s="45" t="n"/>
      <c r="O320" s="42">
        <f>IF(B320="","",WORKDAY(B320,Settings!$B$7))</f>
        <v/>
      </c>
      <c r="P320" s="45" t="n"/>
      <c r="Q320" s="45" t="n"/>
      <c r="R320" s="42">
        <f>IF(B320="","",IF(Q320&lt;&gt;"",MIN(Q320,IF(L320="Escalated",B320+Settings!$B$9,WORKDAY(B320,Settings!$B$8))),IF(L320="Escalated",B320+Settings!$B$9,WORKDAY(B320,Settings!$B$8))))</f>
        <v/>
      </c>
      <c r="S320" s="45" t="n"/>
      <c r="T320" s="44" t="n"/>
      <c r="U320" s="46" t="n"/>
      <c r="V320" s="44" t="n"/>
      <c r="W320" s="44" t="n"/>
      <c r="X320" s="44" t="n"/>
      <c r="Y320" s="41">
        <f>IF(B320="","",IF(S320&lt;&gt;"",S320,Settings!$B$4)-B320)</f>
        <v/>
      </c>
      <c r="Z320" s="41">
        <f>IF(B320="","",IF(S320&lt;&gt;"",IF(S320&gt;R320,"Closed late","Closed on time"),IF(Settings!$B$4&gt;R320,"Open: overdue","Open")))</f>
        <v/>
      </c>
      <c r="AA320" s="41">
        <f>IF(B320="","",IF(NETWORKDAYS(B320,C320)-1&gt;Settings!$B$5,"Logged late",IF(AND(L320="Escalated",M320=""),"Escalate to Compliance",IF(AND(L320="Escalated",N320=""),"Notify Sponsor Bank",IF(AND(L320="Escalated",N320&lt;&gt;"",NETWORKDAYS(B320,N320)-1&gt;Settings!$B$10),"Sponsor Bank notified late",IF(AND(K320&lt;&gt;"",K320&lt;&gt;"None",Q320=""),"Enter the legal deadline",IF(AND(S320&lt;&gt;"",OR(T320="",V320="")),"Record outcome and root cause",IF(AND(P320="",S320="",Settings!$B$4&gt;O320),"Acknowledgment overdue",""))))))))</f>
        <v/>
      </c>
    </row>
    <row r="321" ht="15.75" customHeight="1" s="31">
      <c r="A321" s="44" t="n"/>
      <c r="B321" s="45" t="n"/>
      <c r="C321" s="45" t="n"/>
      <c r="D321" s="44" t="n"/>
      <c r="E321" s="44" t="n"/>
      <c r="F321" s="44" t="n"/>
      <c r="G321" s="44" t="n"/>
      <c r="H321" s="44" t="n"/>
      <c r="I321" s="44" t="n"/>
      <c r="J321" s="44" t="n"/>
      <c r="K321" s="44" t="n"/>
      <c r="L321" s="41">
        <f>IF(B321="","",IF(OR(COUNTIF(Settings!$E$4:$E$9,D321)&gt;0,I321="Yes",J321="Yes",K321="Fair lending allegation"),"Escalated","Standard"))</f>
        <v/>
      </c>
      <c r="M321" s="45" t="n"/>
      <c r="N321" s="45" t="n"/>
      <c r="O321" s="42">
        <f>IF(B321="","",WORKDAY(B321,Settings!$B$7))</f>
        <v/>
      </c>
      <c r="P321" s="45" t="n"/>
      <c r="Q321" s="45" t="n"/>
      <c r="R321" s="42">
        <f>IF(B321="","",IF(Q321&lt;&gt;"",MIN(Q321,IF(L321="Escalated",B321+Settings!$B$9,WORKDAY(B321,Settings!$B$8))),IF(L321="Escalated",B321+Settings!$B$9,WORKDAY(B321,Settings!$B$8))))</f>
        <v/>
      </c>
      <c r="S321" s="45" t="n"/>
      <c r="T321" s="44" t="n"/>
      <c r="U321" s="46" t="n"/>
      <c r="V321" s="44" t="n"/>
      <c r="W321" s="44" t="n"/>
      <c r="X321" s="44" t="n"/>
      <c r="Y321" s="41">
        <f>IF(B321="","",IF(S321&lt;&gt;"",S321,Settings!$B$4)-B321)</f>
        <v/>
      </c>
      <c r="Z321" s="41">
        <f>IF(B321="","",IF(S321&lt;&gt;"",IF(S321&gt;R321,"Closed late","Closed on time"),IF(Settings!$B$4&gt;R321,"Open: overdue","Open")))</f>
        <v/>
      </c>
      <c r="AA321" s="41">
        <f>IF(B321="","",IF(NETWORKDAYS(B321,C321)-1&gt;Settings!$B$5,"Logged late",IF(AND(L321="Escalated",M321=""),"Escalate to Compliance",IF(AND(L321="Escalated",N321=""),"Notify Sponsor Bank",IF(AND(L321="Escalated",N321&lt;&gt;"",NETWORKDAYS(B321,N321)-1&gt;Settings!$B$10),"Sponsor Bank notified late",IF(AND(K321&lt;&gt;"",K321&lt;&gt;"None",Q321=""),"Enter the legal deadline",IF(AND(S321&lt;&gt;"",OR(T321="",V321="")),"Record outcome and root cause",IF(AND(P321="",S321="",Settings!$B$4&gt;O321),"Acknowledgment overdue",""))))))))</f>
        <v/>
      </c>
    </row>
    <row r="322" ht="15.75" customHeight="1" s="31">
      <c r="A322" s="44" t="n"/>
      <c r="B322" s="45" t="n"/>
      <c r="C322" s="45" t="n"/>
      <c r="D322" s="44" t="n"/>
      <c r="E322" s="44" t="n"/>
      <c r="F322" s="44" t="n"/>
      <c r="G322" s="44" t="n"/>
      <c r="H322" s="44" t="n"/>
      <c r="I322" s="44" t="n"/>
      <c r="J322" s="44" t="n"/>
      <c r="K322" s="44" t="n"/>
      <c r="L322" s="41">
        <f>IF(B322="","",IF(OR(COUNTIF(Settings!$E$4:$E$9,D322)&gt;0,I322="Yes",J322="Yes",K322="Fair lending allegation"),"Escalated","Standard"))</f>
        <v/>
      </c>
      <c r="M322" s="45" t="n"/>
      <c r="N322" s="45" t="n"/>
      <c r="O322" s="42">
        <f>IF(B322="","",WORKDAY(B322,Settings!$B$7))</f>
        <v/>
      </c>
      <c r="P322" s="45" t="n"/>
      <c r="Q322" s="45" t="n"/>
      <c r="R322" s="42">
        <f>IF(B322="","",IF(Q322&lt;&gt;"",MIN(Q322,IF(L322="Escalated",B322+Settings!$B$9,WORKDAY(B322,Settings!$B$8))),IF(L322="Escalated",B322+Settings!$B$9,WORKDAY(B322,Settings!$B$8))))</f>
        <v/>
      </c>
      <c r="S322" s="45" t="n"/>
      <c r="T322" s="44" t="n"/>
      <c r="U322" s="46" t="n"/>
      <c r="V322" s="44" t="n"/>
      <c r="W322" s="44" t="n"/>
      <c r="X322" s="44" t="n"/>
      <c r="Y322" s="41">
        <f>IF(B322="","",IF(S322&lt;&gt;"",S322,Settings!$B$4)-B322)</f>
        <v/>
      </c>
      <c r="Z322" s="41">
        <f>IF(B322="","",IF(S322&lt;&gt;"",IF(S322&gt;R322,"Closed late","Closed on time"),IF(Settings!$B$4&gt;R322,"Open: overdue","Open")))</f>
        <v/>
      </c>
      <c r="AA322" s="41">
        <f>IF(B322="","",IF(NETWORKDAYS(B322,C322)-1&gt;Settings!$B$5,"Logged late",IF(AND(L322="Escalated",M322=""),"Escalate to Compliance",IF(AND(L322="Escalated",N322=""),"Notify Sponsor Bank",IF(AND(L322="Escalated",N322&lt;&gt;"",NETWORKDAYS(B322,N322)-1&gt;Settings!$B$10),"Sponsor Bank notified late",IF(AND(K322&lt;&gt;"",K322&lt;&gt;"None",Q322=""),"Enter the legal deadline",IF(AND(S322&lt;&gt;"",OR(T322="",V322="")),"Record outcome and root cause",IF(AND(P322="",S322="",Settings!$B$4&gt;O322),"Acknowledgment overdue",""))))))))</f>
        <v/>
      </c>
    </row>
    <row r="323" ht="15.75" customHeight="1" s="31">
      <c r="A323" s="44" t="n"/>
      <c r="B323" s="45" t="n"/>
      <c r="C323" s="45" t="n"/>
      <c r="D323" s="44" t="n"/>
      <c r="E323" s="44" t="n"/>
      <c r="F323" s="44" t="n"/>
      <c r="G323" s="44" t="n"/>
      <c r="H323" s="44" t="n"/>
      <c r="I323" s="44" t="n"/>
      <c r="J323" s="44" t="n"/>
      <c r="K323" s="44" t="n"/>
      <c r="L323" s="41">
        <f>IF(B323="","",IF(OR(COUNTIF(Settings!$E$4:$E$9,D323)&gt;0,I323="Yes",J323="Yes",K323="Fair lending allegation"),"Escalated","Standard"))</f>
        <v/>
      </c>
      <c r="M323" s="45" t="n"/>
      <c r="N323" s="45" t="n"/>
      <c r="O323" s="42">
        <f>IF(B323="","",WORKDAY(B323,Settings!$B$7))</f>
        <v/>
      </c>
      <c r="P323" s="45" t="n"/>
      <c r="Q323" s="45" t="n"/>
      <c r="R323" s="42">
        <f>IF(B323="","",IF(Q323&lt;&gt;"",MIN(Q323,IF(L323="Escalated",B323+Settings!$B$9,WORKDAY(B323,Settings!$B$8))),IF(L323="Escalated",B323+Settings!$B$9,WORKDAY(B323,Settings!$B$8))))</f>
        <v/>
      </c>
      <c r="S323" s="45" t="n"/>
      <c r="T323" s="44" t="n"/>
      <c r="U323" s="46" t="n"/>
      <c r="V323" s="44" t="n"/>
      <c r="W323" s="44" t="n"/>
      <c r="X323" s="44" t="n"/>
      <c r="Y323" s="41">
        <f>IF(B323="","",IF(S323&lt;&gt;"",S323,Settings!$B$4)-B323)</f>
        <v/>
      </c>
      <c r="Z323" s="41">
        <f>IF(B323="","",IF(S323&lt;&gt;"",IF(S323&gt;R323,"Closed late","Closed on time"),IF(Settings!$B$4&gt;R323,"Open: overdue","Open")))</f>
        <v/>
      </c>
      <c r="AA323" s="41">
        <f>IF(B323="","",IF(NETWORKDAYS(B323,C323)-1&gt;Settings!$B$5,"Logged late",IF(AND(L323="Escalated",M323=""),"Escalate to Compliance",IF(AND(L323="Escalated",N323=""),"Notify Sponsor Bank",IF(AND(L323="Escalated",N323&lt;&gt;"",NETWORKDAYS(B323,N323)-1&gt;Settings!$B$10),"Sponsor Bank notified late",IF(AND(K323&lt;&gt;"",K323&lt;&gt;"None",Q323=""),"Enter the legal deadline",IF(AND(S323&lt;&gt;"",OR(T323="",V323="")),"Record outcome and root cause",IF(AND(P323="",S323="",Settings!$B$4&gt;O323),"Acknowledgment overdue",""))))))))</f>
        <v/>
      </c>
    </row>
    <row r="324" ht="15.75" customHeight="1" s="31">
      <c r="A324" s="44" t="n"/>
      <c r="B324" s="45" t="n"/>
      <c r="C324" s="45" t="n"/>
      <c r="D324" s="44" t="n"/>
      <c r="E324" s="44" t="n"/>
      <c r="F324" s="44" t="n"/>
      <c r="G324" s="44" t="n"/>
      <c r="H324" s="44" t="n"/>
      <c r="I324" s="44" t="n"/>
      <c r="J324" s="44" t="n"/>
      <c r="K324" s="44" t="n"/>
      <c r="L324" s="41">
        <f>IF(B324="","",IF(OR(COUNTIF(Settings!$E$4:$E$9,D324)&gt;0,I324="Yes",J324="Yes",K324="Fair lending allegation"),"Escalated","Standard"))</f>
        <v/>
      </c>
      <c r="M324" s="45" t="n"/>
      <c r="N324" s="45" t="n"/>
      <c r="O324" s="42">
        <f>IF(B324="","",WORKDAY(B324,Settings!$B$7))</f>
        <v/>
      </c>
      <c r="P324" s="45" t="n"/>
      <c r="Q324" s="45" t="n"/>
      <c r="R324" s="42">
        <f>IF(B324="","",IF(Q324&lt;&gt;"",MIN(Q324,IF(L324="Escalated",B324+Settings!$B$9,WORKDAY(B324,Settings!$B$8))),IF(L324="Escalated",B324+Settings!$B$9,WORKDAY(B324,Settings!$B$8))))</f>
        <v/>
      </c>
      <c r="S324" s="45" t="n"/>
      <c r="T324" s="44" t="n"/>
      <c r="U324" s="46" t="n"/>
      <c r="V324" s="44" t="n"/>
      <c r="W324" s="44" t="n"/>
      <c r="X324" s="44" t="n"/>
      <c r="Y324" s="41">
        <f>IF(B324="","",IF(S324&lt;&gt;"",S324,Settings!$B$4)-B324)</f>
        <v/>
      </c>
      <c r="Z324" s="41">
        <f>IF(B324="","",IF(S324&lt;&gt;"",IF(S324&gt;R324,"Closed late","Closed on time"),IF(Settings!$B$4&gt;R324,"Open: overdue","Open")))</f>
        <v/>
      </c>
      <c r="AA324" s="41">
        <f>IF(B324="","",IF(NETWORKDAYS(B324,C324)-1&gt;Settings!$B$5,"Logged late",IF(AND(L324="Escalated",M324=""),"Escalate to Compliance",IF(AND(L324="Escalated",N324=""),"Notify Sponsor Bank",IF(AND(L324="Escalated",N324&lt;&gt;"",NETWORKDAYS(B324,N324)-1&gt;Settings!$B$10),"Sponsor Bank notified late",IF(AND(K324&lt;&gt;"",K324&lt;&gt;"None",Q324=""),"Enter the legal deadline",IF(AND(S324&lt;&gt;"",OR(T324="",V324="")),"Record outcome and root cause",IF(AND(P324="",S324="",Settings!$B$4&gt;O324),"Acknowledgment overdue",""))))))))</f>
        <v/>
      </c>
    </row>
    <row r="325" ht="15.75" customHeight="1" s="31">
      <c r="A325" s="44" t="n"/>
      <c r="B325" s="45" t="n"/>
      <c r="C325" s="45" t="n"/>
      <c r="D325" s="44" t="n"/>
      <c r="E325" s="44" t="n"/>
      <c r="F325" s="44" t="n"/>
      <c r="G325" s="44" t="n"/>
      <c r="H325" s="44" t="n"/>
      <c r="I325" s="44" t="n"/>
      <c r="J325" s="44" t="n"/>
      <c r="K325" s="44" t="n"/>
      <c r="L325" s="41">
        <f>IF(B325="","",IF(OR(COUNTIF(Settings!$E$4:$E$9,D325)&gt;0,I325="Yes",J325="Yes",K325="Fair lending allegation"),"Escalated","Standard"))</f>
        <v/>
      </c>
      <c r="M325" s="45" t="n"/>
      <c r="N325" s="45" t="n"/>
      <c r="O325" s="42">
        <f>IF(B325="","",WORKDAY(B325,Settings!$B$7))</f>
        <v/>
      </c>
      <c r="P325" s="45" t="n"/>
      <c r="Q325" s="45" t="n"/>
      <c r="R325" s="42">
        <f>IF(B325="","",IF(Q325&lt;&gt;"",MIN(Q325,IF(L325="Escalated",B325+Settings!$B$9,WORKDAY(B325,Settings!$B$8))),IF(L325="Escalated",B325+Settings!$B$9,WORKDAY(B325,Settings!$B$8))))</f>
        <v/>
      </c>
      <c r="S325" s="45" t="n"/>
      <c r="T325" s="44" t="n"/>
      <c r="U325" s="46" t="n"/>
      <c r="V325" s="44" t="n"/>
      <c r="W325" s="44" t="n"/>
      <c r="X325" s="44" t="n"/>
      <c r="Y325" s="41">
        <f>IF(B325="","",IF(S325&lt;&gt;"",S325,Settings!$B$4)-B325)</f>
        <v/>
      </c>
      <c r="Z325" s="41">
        <f>IF(B325="","",IF(S325&lt;&gt;"",IF(S325&gt;R325,"Closed late","Closed on time"),IF(Settings!$B$4&gt;R325,"Open: overdue","Open")))</f>
        <v/>
      </c>
      <c r="AA325" s="41">
        <f>IF(B325="","",IF(NETWORKDAYS(B325,C325)-1&gt;Settings!$B$5,"Logged late",IF(AND(L325="Escalated",M325=""),"Escalate to Compliance",IF(AND(L325="Escalated",N325=""),"Notify Sponsor Bank",IF(AND(L325="Escalated",N325&lt;&gt;"",NETWORKDAYS(B325,N325)-1&gt;Settings!$B$10),"Sponsor Bank notified late",IF(AND(K325&lt;&gt;"",K325&lt;&gt;"None",Q325=""),"Enter the legal deadline",IF(AND(S325&lt;&gt;"",OR(T325="",V325="")),"Record outcome and root cause",IF(AND(P325="",S325="",Settings!$B$4&gt;O325),"Acknowledgment overdue",""))))))))</f>
        <v/>
      </c>
    </row>
    <row r="326" ht="15.75" customHeight="1" s="31">
      <c r="A326" s="44" t="n"/>
      <c r="B326" s="45" t="n"/>
      <c r="C326" s="45" t="n"/>
      <c r="D326" s="44" t="n"/>
      <c r="E326" s="44" t="n"/>
      <c r="F326" s="44" t="n"/>
      <c r="G326" s="44" t="n"/>
      <c r="H326" s="44" t="n"/>
      <c r="I326" s="44" t="n"/>
      <c r="J326" s="44" t="n"/>
      <c r="K326" s="44" t="n"/>
      <c r="L326" s="41">
        <f>IF(B326="","",IF(OR(COUNTIF(Settings!$E$4:$E$9,D326)&gt;0,I326="Yes",J326="Yes",K326="Fair lending allegation"),"Escalated","Standard"))</f>
        <v/>
      </c>
      <c r="M326" s="45" t="n"/>
      <c r="N326" s="45" t="n"/>
      <c r="O326" s="42">
        <f>IF(B326="","",WORKDAY(B326,Settings!$B$7))</f>
        <v/>
      </c>
      <c r="P326" s="45" t="n"/>
      <c r="Q326" s="45" t="n"/>
      <c r="R326" s="42">
        <f>IF(B326="","",IF(Q326&lt;&gt;"",MIN(Q326,IF(L326="Escalated",B326+Settings!$B$9,WORKDAY(B326,Settings!$B$8))),IF(L326="Escalated",B326+Settings!$B$9,WORKDAY(B326,Settings!$B$8))))</f>
        <v/>
      </c>
      <c r="S326" s="45" t="n"/>
      <c r="T326" s="44" t="n"/>
      <c r="U326" s="46" t="n"/>
      <c r="V326" s="44" t="n"/>
      <c r="W326" s="44" t="n"/>
      <c r="X326" s="44" t="n"/>
      <c r="Y326" s="41">
        <f>IF(B326="","",IF(S326&lt;&gt;"",S326,Settings!$B$4)-B326)</f>
        <v/>
      </c>
      <c r="Z326" s="41">
        <f>IF(B326="","",IF(S326&lt;&gt;"",IF(S326&gt;R326,"Closed late","Closed on time"),IF(Settings!$B$4&gt;R326,"Open: overdue","Open")))</f>
        <v/>
      </c>
      <c r="AA326" s="41">
        <f>IF(B326="","",IF(NETWORKDAYS(B326,C326)-1&gt;Settings!$B$5,"Logged late",IF(AND(L326="Escalated",M326=""),"Escalate to Compliance",IF(AND(L326="Escalated",N326=""),"Notify Sponsor Bank",IF(AND(L326="Escalated",N326&lt;&gt;"",NETWORKDAYS(B326,N326)-1&gt;Settings!$B$10),"Sponsor Bank notified late",IF(AND(K326&lt;&gt;"",K326&lt;&gt;"None",Q326=""),"Enter the legal deadline",IF(AND(S326&lt;&gt;"",OR(T326="",V326="")),"Record outcome and root cause",IF(AND(P326="",S326="",Settings!$B$4&gt;O326),"Acknowledgment overdue",""))))))))</f>
        <v/>
      </c>
    </row>
    <row r="327" ht="15.75" customHeight="1" s="31">
      <c r="A327" s="44" t="n"/>
      <c r="B327" s="45" t="n"/>
      <c r="C327" s="45" t="n"/>
      <c r="D327" s="44" t="n"/>
      <c r="E327" s="44" t="n"/>
      <c r="F327" s="44" t="n"/>
      <c r="G327" s="44" t="n"/>
      <c r="H327" s="44" t="n"/>
      <c r="I327" s="44" t="n"/>
      <c r="J327" s="44" t="n"/>
      <c r="K327" s="44" t="n"/>
      <c r="L327" s="41">
        <f>IF(B327="","",IF(OR(COUNTIF(Settings!$E$4:$E$9,D327)&gt;0,I327="Yes",J327="Yes",K327="Fair lending allegation"),"Escalated","Standard"))</f>
        <v/>
      </c>
      <c r="M327" s="45" t="n"/>
      <c r="N327" s="45" t="n"/>
      <c r="O327" s="42">
        <f>IF(B327="","",WORKDAY(B327,Settings!$B$7))</f>
        <v/>
      </c>
      <c r="P327" s="45" t="n"/>
      <c r="Q327" s="45" t="n"/>
      <c r="R327" s="42">
        <f>IF(B327="","",IF(Q327&lt;&gt;"",MIN(Q327,IF(L327="Escalated",B327+Settings!$B$9,WORKDAY(B327,Settings!$B$8))),IF(L327="Escalated",B327+Settings!$B$9,WORKDAY(B327,Settings!$B$8))))</f>
        <v/>
      </c>
      <c r="S327" s="45" t="n"/>
      <c r="T327" s="44" t="n"/>
      <c r="U327" s="46" t="n"/>
      <c r="V327" s="44" t="n"/>
      <c r="W327" s="44" t="n"/>
      <c r="X327" s="44" t="n"/>
      <c r="Y327" s="41">
        <f>IF(B327="","",IF(S327&lt;&gt;"",S327,Settings!$B$4)-B327)</f>
        <v/>
      </c>
      <c r="Z327" s="41">
        <f>IF(B327="","",IF(S327&lt;&gt;"",IF(S327&gt;R327,"Closed late","Closed on time"),IF(Settings!$B$4&gt;R327,"Open: overdue","Open")))</f>
        <v/>
      </c>
      <c r="AA327" s="41">
        <f>IF(B327="","",IF(NETWORKDAYS(B327,C327)-1&gt;Settings!$B$5,"Logged late",IF(AND(L327="Escalated",M327=""),"Escalate to Compliance",IF(AND(L327="Escalated",N327=""),"Notify Sponsor Bank",IF(AND(L327="Escalated",N327&lt;&gt;"",NETWORKDAYS(B327,N327)-1&gt;Settings!$B$10),"Sponsor Bank notified late",IF(AND(K327&lt;&gt;"",K327&lt;&gt;"None",Q327=""),"Enter the legal deadline",IF(AND(S327&lt;&gt;"",OR(T327="",V327="")),"Record outcome and root cause",IF(AND(P327="",S327="",Settings!$B$4&gt;O327),"Acknowledgment overdue",""))))))))</f>
        <v/>
      </c>
    </row>
    <row r="328" ht="15.75" customHeight="1" s="31">
      <c r="A328" s="44" t="n"/>
      <c r="B328" s="45" t="n"/>
      <c r="C328" s="45" t="n"/>
      <c r="D328" s="44" t="n"/>
      <c r="E328" s="44" t="n"/>
      <c r="F328" s="44" t="n"/>
      <c r="G328" s="44" t="n"/>
      <c r="H328" s="44" t="n"/>
      <c r="I328" s="44" t="n"/>
      <c r="J328" s="44" t="n"/>
      <c r="K328" s="44" t="n"/>
      <c r="L328" s="41">
        <f>IF(B328="","",IF(OR(COUNTIF(Settings!$E$4:$E$9,D328)&gt;0,I328="Yes",J328="Yes",K328="Fair lending allegation"),"Escalated","Standard"))</f>
        <v/>
      </c>
      <c r="M328" s="45" t="n"/>
      <c r="N328" s="45" t="n"/>
      <c r="O328" s="42">
        <f>IF(B328="","",WORKDAY(B328,Settings!$B$7))</f>
        <v/>
      </c>
      <c r="P328" s="45" t="n"/>
      <c r="Q328" s="45" t="n"/>
      <c r="R328" s="42">
        <f>IF(B328="","",IF(Q328&lt;&gt;"",MIN(Q328,IF(L328="Escalated",B328+Settings!$B$9,WORKDAY(B328,Settings!$B$8))),IF(L328="Escalated",B328+Settings!$B$9,WORKDAY(B328,Settings!$B$8))))</f>
        <v/>
      </c>
      <c r="S328" s="45" t="n"/>
      <c r="T328" s="44" t="n"/>
      <c r="U328" s="46" t="n"/>
      <c r="V328" s="44" t="n"/>
      <c r="W328" s="44" t="n"/>
      <c r="X328" s="44" t="n"/>
      <c r="Y328" s="41">
        <f>IF(B328="","",IF(S328&lt;&gt;"",S328,Settings!$B$4)-B328)</f>
        <v/>
      </c>
      <c r="Z328" s="41">
        <f>IF(B328="","",IF(S328&lt;&gt;"",IF(S328&gt;R328,"Closed late","Closed on time"),IF(Settings!$B$4&gt;R328,"Open: overdue","Open")))</f>
        <v/>
      </c>
      <c r="AA328" s="41">
        <f>IF(B328="","",IF(NETWORKDAYS(B328,C328)-1&gt;Settings!$B$5,"Logged late",IF(AND(L328="Escalated",M328=""),"Escalate to Compliance",IF(AND(L328="Escalated",N328=""),"Notify Sponsor Bank",IF(AND(L328="Escalated",N328&lt;&gt;"",NETWORKDAYS(B328,N328)-1&gt;Settings!$B$10),"Sponsor Bank notified late",IF(AND(K328&lt;&gt;"",K328&lt;&gt;"None",Q328=""),"Enter the legal deadline",IF(AND(S328&lt;&gt;"",OR(T328="",V328="")),"Record outcome and root cause",IF(AND(P328="",S328="",Settings!$B$4&gt;O328),"Acknowledgment overdue",""))))))))</f>
        <v/>
      </c>
    </row>
    <row r="329" ht="15.75" customHeight="1" s="31">
      <c r="A329" s="44" t="n"/>
      <c r="B329" s="45" t="n"/>
      <c r="C329" s="45" t="n"/>
      <c r="D329" s="44" t="n"/>
      <c r="E329" s="44" t="n"/>
      <c r="F329" s="44" t="n"/>
      <c r="G329" s="44" t="n"/>
      <c r="H329" s="44" t="n"/>
      <c r="I329" s="44" t="n"/>
      <c r="J329" s="44" t="n"/>
      <c r="K329" s="44" t="n"/>
      <c r="L329" s="41">
        <f>IF(B329="","",IF(OR(COUNTIF(Settings!$E$4:$E$9,D329)&gt;0,I329="Yes",J329="Yes",K329="Fair lending allegation"),"Escalated","Standard"))</f>
        <v/>
      </c>
      <c r="M329" s="45" t="n"/>
      <c r="N329" s="45" t="n"/>
      <c r="O329" s="42">
        <f>IF(B329="","",WORKDAY(B329,Settings!$B$7))</f>
        <v/>
      </c>
      <c r="P329" s="45" t="n"/>
      <c r="Q329" s="45" t="n"/>
      <c r="R329" s="42">
        <f>IF(B329="","",IF(Q329&lt;&gt;"",MIN(Q329,IF(L329="Escalated",B329+Settings!$B$9,WORKDAY(B329,Settings!$B$8))),IF(L329="Escalated",B329+Settings!$B$9,WORKDAY(B329,Settings!$B$8))))</f>
        <v/>
      </c>
      <c r="S329" s="45" t="n"/>
      <c r="T329" s="44" t="n"/>
      <c r="U329" s="46" t="n"/>
      <c r="V329" s="44" t="n"/>
      <c r="W329" s="44" t="n"/>
      <c r="X329" s="44" t="n"/>
      <c r="Y329" s="41">
        <f>IF(B329="","",IF(S329&lt;&gt;"",S329,Settings!$B$4)-B329)</f>
        <v/>
      </c>
      <c r="Z329" s="41">
        <f>IF(B329="","",IF(S329&lt;&gt;"",IF(S329&gt;R329,"Closed late","Closed on time"),IF(Settings!$B$4&gt;R329,"Open: overdue","Open")))</f>
        <v/>
      </c>
      <c r="AA329" s="41">
        <f>IF(B329="","",IF(NETWORKDAYS(B329,C329)-1&gt;Settings!$B$5,"Logged late",IF(AND(L329="Escalated",M329=""),"Escalate to Compliance",IF(AND(L329="Escalated",N329=""),"Notify Sponsor Bank",IF(AND(L329="Escalated",N329&lt;&gt;"",NETWORKDAYS(B329,N329)-1&gt;Settings!$B$10),"Sponsor Bank notified late",IF(AND(K329&lt;&gt;"",K329&lt;&gt;"None",Q329=""),"Enter the legal deadline",IF(AND(S329&lt;&gt;"",OR(T329="",V329="")),"Record outcome and root cause",IF(AND(P329="",S329="",Settings!$B$4&gt;O329),"Acknowledgment overdue",""))))))))</f>
        <v/>
      </c>
    </row>
    <row r="330" ht="15.75" customHeight="1" s="31">
      <c r="A330" s="44" t="n"/>
      <c r="B330" s="45" t="n"/>
      <c r="C330" s="45" t="n"/>
      <c r="D330" s="44" t="n"/>
      <c r="E330" s="44" t="n"/>
      <c r="F330" s="44" t="n"/>
      <c r="G330" s="44" t="n"/>
      <c r="H330" s="44" t="n"/>
      <c r="I330" s="44" t="n"/>
      <c r="J330" s="44" t="n"/>
      <c r="K330" s="44" t="n"/>
      <c r="L330" s="41">
        <f>IF(B330="","",IF(OR(COUNTIF(Settings!$E$4:$E$9,D330)&gt;0,I330="Yes",J330="Yes",K330="Fair lending allegation"),"Escalated","Standard"))</f>
        <v/>
      </c>
      <c r="M330" s="45" t="n"/>
      <c r="N330" s="45" t="n"/>
      <c r="O330" s="42">
        <f>IF(B330="","",WORKDAY(B330,Settings!$B$7))</f>
        <v/>
      </c>
      <c r="P330" s="45" t="n"/>
      <c r="Q330" s="45" t="n"/>
      <c r="R330" s="42">
        <f>IF(B330="","",IF(Q330&lt;&gt;"",MIN(Q330,IF(L330="Escalated",B330+Settings!$B$9,WORKDAY(B330,Settings!$B$8))),IF(L330="Escalated",B330+Settings!$B$9,WORKDAY(B330,Settings!$B$8))))</f>
        <v/>
      </c>
      <c r="S330" s="45" t="n"/>
      <c r="T330" s="44" t="n"/>
      <c r="U330" s="46" t="n"/>
      <c r="V330" s="44" t="n"/>
      <c r="W330" s="44" t="n"/>
      <c r="X330" s="44" t="n"/>
      <c r="Y330" s="41">
        <f>IF(B330="","",IF(S330&lt;&gt;"",S330,Settings!$B$4)-B330)</f>
        <v/>
      </c>
      <c r="Z330" s="41">
        <f>IF(B330="","",IF(S330&lt;&gt;"",IF(S330&gt;R330,"Closed late","Closed on time"),IF(Settings!$B$4&gt;R330,"Open: overdue","Open")))</f>
        <v/>
      </c>
      <c r="AA330" s="41">
        <f>IF(B330="","",IF(NETWORKDAYS(B330,C330)-1&gt;Settings!$B$5,"Logged late",IF(AND(L330="Escalated",M330=""),"Escalate to Compliance",IF(AND(L330="Escalated",N330=""),"Notify Sponsor Bank",IF(AND(L330="Escalated",N330&lt;&gt;"",NETWORKDAYS(B330,N330)-1&gt;Settings!$B$10),"Sponsor Bank notified late",IF(AND(K330&lt;&gt;"",K330&lt;&gt;"None",Q330=""),"Enter the legal deadline",IF(AND(S330&lt;&gt;"",OR(T330="",V330="")),"Record outcome and root cause",IF(AND(P330="",S330="",Settings!$B$4&gt;O330),"Acknowledgment overdue",""))))))))</f>
        <v/>
      </c>
    </row>
    <row r="331" ht="15.75" customHeight="1" s="31">
      <c r="A331" s="44" t="n"/>
      <c r="B331" s="45" t="n"/>
      <c r="C331" s="45" t="n"/>
      <c r="D331" s="44" t="n"/>
      <c r="E331" s="44" t="n"/>
      <c r="F331" s="44" t="n"/>
      <c r="G331" s="44" t="n"/>
      <c r="H331" s="44" t="n"/>
      <c r="I331" s="44" t="n"/>
      <c r="J331" s="44" t="n"/>
      <c r="K331" s="44" t="n"/>
      <c r="L331" s="41">
        <f>IF(B331="","",IF(OR(COUNTIF(Settings!$E$4:$E$9,D331)&gt;0,I331="Yes",J331="Yes",K331="Fair lending allegation"),"Escalated","Standard"))</f>
        <v/>
      </c>
      <c r="M331" s="45" t="n"/>
      <c r="N331" s="45" t="n"/>
      <c r="O331" s="42">
        <f>IF(B331="","",WORKDAY(B331,Settings!$B$7))</f>
        <v/>
      </c>
      <c r="P331" s="45" t="n"/>
      <c r="Q331" s="45" t="n"/>
      <c r="R331" s="42">
        <f>IF(B331="","",IF(Q331&lt;&gt;"",MIN(Q331,IF(L331="Escalated",B331+Settings!$B$9,WORKDAY(B331,Settings!$B$8))),IF(L331="Escalated",B331+Settings!$B$9,WORKDAY(B331,Settings!$B$8))))</f>
        <v/>
      </c>
      <c r="S331" s="45" t="n"/>
      <c r="T331" s="44" t="n"/>
      <c r="U331" s="46" t="n"/>
      <c r="V331" s="44" t="n"/>
      <c r="W331" s="44" t="n"/>
      <c r="X331" s="44" t="n"/>
      <c r="Y331" s="41">
        <f>IF(B331="","",IF(S331&lt;&gt;"",S331,Settings!$B$4)-B331)</f>
        <v/>
      </c>
      <c r="Z331" s="41">
        <f>IF(B331="","",IF(S331&lt;&gt;"",IF(S331&gt;R331,"Closed late","Closed on time"),IF(Settings!$B$4&gt;R331,"Open: overdue","Open")))</f>
        <v/>
      </c>
      <c r="AA331" s="41">
        <f>IF(B331="","",IF(NETWORKDAYS(B331,C331)-1&gt;Settings!$B$5,"Logged late",IF(AND(L331="Escalated",M331=""),"Escalate to Compliance",IF(AND(L331="Escalated",N331=""),"Notify Sponsor Bank",IF(AND(L331="Escalated",N331&lt;&gt;"",NETWORKDAYS(B331,N331)-1&gt;Settings!$B$10),"Sponsor Bank notified late",IF(AND(K331&lt;&gt;"",K331&lt;&gt;"None",Q331=""),"Enter the legal deadline",IF(AND(S331&lt;&gt;"",OR(T331="",V331="")),"Record outcome and root cause",IF(AND(P331="",S331="",Settings!$B$4&gt;O331),"Acknowledgment overdue",""))))))))</f>
        <v/>
      </c>
    </row>
    <row r="332" ht="15.75" customHeight="1" s="31">
      <c r="A332" s="44" t="n"/>
      <c r="B332" s="45" t="n"/>
      <c r="C332" s="45" t="n"/>
      <c r="D332" s="44" t="n"/>
      <c r="E332" s="44" t="n"/>
      <c r="F332" s="44" t="n"/>
      <c r="G332" s="44" t="n"/>
      <c r="H332" s="44" t="n"/>
      <c r="I332" s="44" t="n"/>
      <c r="J332" s="44" t="n"/>
      <c r="K332" s="44" t="n"/>
      <c r="L332" s="41">
        <f>IF(B332="","",IF(OR(COUNTIF(Settings!$E$4:$E$9,D332)&gt;0,I332="Yes",J332="Yes",K332="Fair lending allegation"),"Escalated","Standard"))</f>
        <v/>
      </c>
      <c r="M332" s="45" t="n"/>
      <c r="N332" s="45" t="n"/>
      <c r="O332" s="42">
        <f>IF(B332="","",WORKDAY(B332,Settings!$B$7))</f>
        <v/>
      </c>
      <c r="P332" s="45" t="n"/>
      <c r="Q332" s="45" t="n"/>
      <c r="R332" s="42">
        <f>IF(B332="","",IF(Q332&lt;&gt;"",MIN(Q332,IF(L332="Escalated",B332+Settings!$B$9,WORKDAY(B332,Settings!$B$8))),IF(L332="Escalated",B332+Settings!$B$9,WORKDAY(B332,Settings!$B$8))))</f>
        <v/>
      </c>
      <c r="S332" s="45" t="n"/>
      <c r="T332" s="44" t="n"/>
      <c r="U332" s="46" t="n"/>
      <c r="V332" s="44" t="n"/>
      <c r="W332" s="44" t="n"/>
      <c r="X332" s="44" t="n"/>
      <c r="Y332" s="41">
        <f>IF(B332="","",IF(S332&lt;&gt;"",S332,Settings!$B$4)-B332)</f>
        <v/>
      </c>
      <c r="Z332" s="41">
        <f>IF(B332="","",IF(S332&lt;&gt;"",IF(S332&gt;R332,"Closed late","Closed on time"),IF(Settings!$B$4&gt;R332,"Open: overdue","Open")))</f>
        <v/>
      </c>
      <c r="AA332" s="41">
        <f>IF(B332="","",IF(NETWORKDAYS(B332,C332)-1&gt;Settings!$B$5,"Logged late",IF(AND(L332="Escalated",M332=""),"Escalate to Compliance",IF(AND(L332="Escalated",N332=""),"Notify Sponsor Bank",IF(AND(L332="Escalated",N332&lt;&gt;"",NETWORKDAYS(B332,N332)-1&gt;Settings!$B$10),"Sponsor Bank notified late",IF(AND(K332&lt;&gt;"",K332&lt;&gt;"None",Q332=""),"Enter the legal deadline",IF(AND(S332&lt;&gt;"",OR(T332="",V332="")),"Record outcome and root cause",IF(AND(P332="",S332="",Settings!$B$4&gt;O332),"Acknowledgment overdue",""))))))))</f>
        <v/>
      </c>
    </row>
    <row r="333" ht="15.75" customHeight="1" s="31">
      <c r="A333" s="44" t="n"/>
      <c r="B333" s="45" t="n"/>
      <c r="C333" s="45" t="n"/>
      <c r="D333" s="44" t="n"/>
      <c r="E333" s="44" t="n"/>
      <c r="F333" s="44" t="n"/>
      <c r="G333" s="44" t="n"/>
      <c r="H333" s="44" t="n"/>
      <c r="I333" s="44" t="n"/>
      <c r="J333" s="44" t="n"/>
      <c r="K333" s="44" t="n"/>
      <c r="L333" s="41">
        <f>IF(B333="","",IF(OR(COUNTIF(Settings!$E$4:$E$9,D333)&gt;0,I333="Yes",J333="Yes",K333="Fair lending allegation"),"Escalated","Standard"))</f>
        <v/>
      </c>
      <c r="M333" s="45" t="n"/>
      <c r="N333" s="45" t="n"/>
      <c r="O333" s="42">
        <f>IF(B333="","",WORKDAY(B333,Settings!$B$7))</f>
        <v/>
      </c>
      <c r="P333" s="45" t="n"/>
      <c r="Q333" s="45" t="n"/>
      <c r="R333" s="42">
        <f>IF(B333="","",IF(Q333&lt;&gt;"",MIN(Q333,IF(L333="Escalated",B333+Settings!$B$9,WORKDAY(B333,Settings!$B$8))),IF(L333="Escalated",B333+Settings!$B$9,WORKDAY(B333,Settings!$B$8))))</f>
        <v/>
      </c>
      <c r="S333" s="45" t="n"/>
      <c r="T333" s="44" t="n"/>
      <c r="U333" s="46" t="n"/>
      <c r="V333" s="44" t="n"/>
      <c r="W333" s="44" t="n"/>
      <c r="X333" s="44" t="n"/>
      <c r="Y333" s="41">
        <f>IF(B333="","",IF(S333&lt;&gt;"",S333,Settings!$B$4)-B333)</f>
        <v/>
      </c>
      <c r="Z333" s="41">
        <f>IF(B333="","",IF(S333&lt;&gt;"",IF(S333&gt;R333,"Closed late","Closed on time"),IF(Settings!$B$4&gt;R333,"Open: overdue","Open")))</f>
        <v/>
      </c>
      <c r="AA333" s="41">
        <f>IF(B333="","",IF(NETWORKDAYS(B333,C333)-1&gt;Settings!$B$5,"Logged late",IF(AND(L333="Escalated",M333=""),"Escalate to Compliance",IF(AND(L333="Escalated",N333=""),"Notify Sponsor Bank",IF(AND(L333="Escalated",N333&lt;&gt;"",NETWORKDAYS(B333,N333)-1&gt;Settings!$B$10),"Sponsor Bank notified late",IF(AND(K333&lt;&gt;"",K333&lt;&gt;"None",Q333=""),"Enter the legal deadline",IF(AND(S333&lt;&gt;"",OR(T333="",V333="")),"Record outcome and root cause",IF(AND(P333="",S333="",Settings!$B$4&gt;O333),"Acknowledgment overdue",""))))))))</f>
        <v/>
      </c>
    </row>
    <row r="334" ht="15.75" customHeight="1" s="31">
      <c r="A334" s="44" t="n"/>
      <c r="B334" s="45" t="n"/>
      <c r="C334" s="45" t="n"/>
      <c r="D334" s="44" t="n"/>
      <c r="E334" s="44" t="n"/>
      <c r="F334" s="44" t="n"/>
      <c r="G334" s="44" t="n"/>
      <c r="H334" s="44" t="n"/>
      <c r="I334" s="44" t="n"/>
      <c r="J334" s="44" t="n"/>
      <c r="K334" s="44" t="n"/>
      <c r="L334" s="41">
        <f>IF(B334="","",IF(OR(COUNTIF(Settings!$E$4:$E$9,D334)&gt;0,I334="Yes",J334="Yes",K334="Fair lending allegation"),"Escalated","Standard"))</f>
        <v/>
      </c>
      <c r="M334" s="45" t="n"/>
      <c r="N334" s="45" t="n"/>
      <c r="O334" s="42">
        <f>IF(B334="","",WORKDAY(B334,Settings!$B$7))</f>
        <v/>
      </c>
      <c r="P334" s="45" t="n"/>
      <c r="Q334" s="45" t="n"/>
      <c r="R334" s="42">
        <f>IF(B334="","",IF(Q334&lt;&gt;"",MIN(Q334,IF(L334="Escalated",B334+Settings!$B$9,WORKDAY(B334,Settings!$B$8))),IF(L334="Escalated",B334+Settings!$B$9,WORKDAY(B334,Settings!$B$8))))</f>
        <v/>
      </c>
      <c r="S334" s="45" t="n"/>
      <c r="T334" s="44" t="n"/>
      <c r="U334" s="46" t="n"/>
      <c r="V334" s="44" t="n"/>
      <c r="W334" s="44" t="n"/>
      <c r="X334" s="44" t="n"/>
      <c r="Y334" s="41">
        <f>IF(B334="","",IF(S334&lt;&gt;"",S334,Settings!$B$4)-B334)</f>
        <v/>
      </c>
      <c r="Z334" s="41">
        <f>IF(B334="","",IF(S334&lt;&gt;"",IF(S334&gt;R334,"Closed late","Closed on time"),IF(Settings!$B$4&gt;R334,"Open: overdue","Open")))</f>
        <v/>
      </c>
      <c r="AA334" s="41">
        <f>IF(B334="","",IF(NETWORKDAYS(B334,C334)-1&gt;Settings!$B$5,"Logged late",IF(AND(L334="Escalated",M334=""),"Escalate to Compliance",IF(AND(L334="Escalated",N334=""),"Notify Sponsor Bank",IF(AND(L334="Escalated",N334&lt;&gt;"",NETWORKDAYS(B334,N334)-1&gt;Settings!$B$10),"Sponsor Bank notified late",IF(AND(K334&lt;&gt;"",K334&lt;&gt;"None",Q334=""),"Enter the legal deadline",IF(AND(S334&lt;&gt;"",OR(T334="",V334="")),"Record outcome and root cause",IF(AND(P334="",S334="",Settings!$B$4&gt;O334),"Acknowledgment overdue",""))))))))</f>
        <v/>
      </c>
    </row>
    <row r="335" ht="15.75" customHeight="1" s="31">
      <c r="A335" s="44" t="n"/>
      <c r="B335" s="45" t="n"/>
      <c r="C335" s="45" t="n"/>
      <c r="D335" s="44" t="n"/>
      <c r="E335" s="44" t="n"/>
      <c r="F335" s="44" t="n"/>
      <c r="G335" s="44" t="n"/>
      <c r="H335" s="44" t="n"/>
      <c r="I335" s="44" t="n"/>
      <c r="J335" s="44" t="n"/>
      <c r="K335" s="44" t="n"/>
      <c r="L335" s="41">
        <f>IF(B335="","",IF(OR(COUNTIF(Settings!$E$4:$E$9,D335)&gt;0,I335="Yes",J335="Yes",K335="Fair lending allegation"),"Escalated","Standard"))</f>
        <v/>
      </c>
      <c r="M335" s="45" t="n"/>
      <c r="N335" s="45" t="n"/>
      <c r="O335" s="42">
        <f>IF(B335="","",WORKDAY(B335,Settings!$B$7))</f>
        <v/>
      </c>
      <c r="P335" s="45" t="n"/>
      <c r="Q335" s="45" t="n"/>
      <c r="R335" s="42">
        <f>IF(B335="","",IF(Q335&lt;&gt;"",MIN(Q335,IF(L335="Escalated",B335+Settings!$B$9,WORKDAY(B335,Settings!$B$8))),IF(L335="Escalated",B335+Settings!$B$9,WORKDAY(B335,Settings!$B$8))))</f>
        <v/>
      </c>
      <c r="S335" s="45" t="n"/>
      <c r="T335" s="44" t="n"/>
      <c r="U335" s="46" t="n"/>
      <c r="V335" s="44" t="n"/>
      <c r="W335" s="44" t="n"/>
      <c r="X335" s="44" t="n"/>
      <c r="Y335" s="41">
        <f>IF(B335="","",IF(S335&lt;&gt;"",S335,Settings!$B$4)-B335)</f>
        <v/>
      </c>
      <c r="Z335" s="41">
        <f>IF(B335="","",IF(S335&lt;&gt;"",IF(S335&gt;R335,"Closed late","Closed on time"),IF(Settings!$B$4&gt;R335,"Open: overdue","Open")))</f>
        <v/>
      </c>
      <c r="AA335" s="41">
        <f>IF(B335="","",IF(NETWORKDAYS(B335,C335)-1&gt;Settings!$B$5,"Logged late",IF(AND(L335="Escalated",M335=""),"Escalate to Compliance",IF(AND(L335="Escalated",N335=""),"Notify Sponsor Bank",IF(AND(L335="Escalated",N335&lt;&gt;"",NETWORKDAYS(B335,N335)-1&gt;Settings!$B$10),"Sponsor Bank notified late",IF(AND(K335&lt;&gt;"",K335&lt;&gt;"None",Q335=""),"Enter the legal deadline",IF(AND(S335&lt;&gt;"",OR(T335="",V335="")),"Record outcome and root cause",IF(AND(P335="",S335="",Settings!$B$4&gt;O335),"Acknowledgment overdue",""))))))))</f>
        <v/>
      </c>
    </row>
    <row r="336" ht="15.75" customHeight="1" s="31">
      <c r="A336" s="44" t="n"/>
      <c r="B336" s="45" t="n"/>
      <c r="C336" s="45" t="n"/>
      <c r="D336" s="44" t="n"/>
      <c r="E336" s="44" t="n"/>
      <c r="F336" s="44" t="n"/>
      <c r="G336" s="44" t="n"/>
      <c r="H336" s="44" t="n"/>
      <c r="I336" s="44" t="n"/>
      <c r="J336" s="44" t="n"/>
      <c r="K336" s="44" t="n"/>
      <c r="L336" s="41">
        <f>IF(B336="","",IF(OR(COUNTIF(Settings!$E$4:$E$9,D336)&gt;0,I336="Yes",J336="Yes",K336="Fair lending allegation"),"Escalated","Standard"))</f>
        <v/>
      </c>
      <c r="M336" s="45" t="n"/>
      <c r="N336" s="45" t="n"/>
      <c r="O336" s="42">
        <f>IF(B336="","",WORKDAY(B336,Settings!$B$7))</f>
        <v/>
      </c>
      <c r="P336" s="45" t="n"/>
      <c r="Q336" s="45" t="n"/>
      <c r="R336" s="42">
        <f>IF(B336="","",IF(Q336&lt;&gt;"",MIN(Q336,IF(L336="Escalated",B336+Settings!$B$9,WORKDAY(B336,Settings!$B$8))),IF(L336="Escalated",B336+Settings!$B$9,WORKDAY(B336,Settings!$B$8))))</f>
        <v/>
      </c>
      <c r="S336" s="45" t="n"/>
      <c r="T336" s="44" t="n"/>
      <c r="U336" s="46" t="n"/>
      <c r="V336" s="44" t="n"/>
      <c r="W336" s="44" t="n"/>
      <c r="X336" s="44" t="n"/>
      <c r="Y336" s="41">
        <f>IF(B336="","",IF(S336&lt;&gt;"",S336,Settings!$B$4)-B336)</f>
        <v/>
      </c>
      <c r="Z336" s="41">
        <f>IF(B336="","",IF(S336&lt;&gt;"",IF(S336&gt;R336,"Closed late","Closed on time"),IF(Settings!$B$4&gt;R336,"Open: overdue","Open")))</f>
        <v/>
      </c>
      <c r="AA336" s="41">
        <f>IF(B336="","",IF(NETWORKDAYS(B336,C336)-1&gt;Settings!$B$5,"Logged late",IF(AND(L336="Escalated",M336=""),"Escalate to Compliance",IF(AND(L336="Escalated",N336=""),"Notify Sponsor Bank",IF(AND(L336="Escalated",N336&lt;&gt;"",NETWORKDAYS(B336,N336)-1&gt;Settings!$B$10),"Sponsor Bank notified late",IF(AND(K336&lt;&gt;"",K336&lt;&gt;"None",Q336=""),"Enter the legal deadline",IF(AND(S336&lt;&gt;"",OR(T336="",V336="")),"Record outcome and root cause",IF(AND(P336="",S336="",Settings!$B$4&gt;O336),"Acknowledgment overdue",""))))))))</f>
        <v/>
      </c>
    </row>
    <row r="337" ht="15.75" customHeight="1" s="31">
      <c r="A337" s="44" t="n"/>
      <c r="B337" s="45" t="n"/>
      <c r="C337" s="45" t="n"/>
      <c r="D337" s="44" t="n"/>
      <c r="E337" s="44" t="n"/>
      <c r="F337" s="44" t="n"/>
      <c r="G337" s="44" t="n"/>
      <c r="H337" s="44" t="n"/>
      <c r="I337" s="44" t="n"/>
      <c r="J337" s="44" t="n"/>
      <c r="K337" s="44" t="n"/>
      <c r="L337" s="41">
        <f>IF(B337="","",IF(OR(COUNTIF(Settings!$E$4:$E$9,D337)&gt;0,I337="Yes",J337="Yes",K337="Fair lending allegation"),"Escalated","Standard"))</f>
        <v/>
      </c>
      <c r="M337" s="45" t="n"/>
      <c r="N337" s="45" t="n"/>
      <c r="O337" s="42">
        <f>IF(B337="","",WORKDAY(B337,Settings!$B$7))</f>
        <v/>
      </c>
      <c r="P337" s="45" t="n"/>
      <c r="Q337" s="45" t="n"/>
      <c r="R337" s="42">
        <f>IF(B337="","",IF(Q337&lt;&gt;"",MIN(Q337,IF(L337="Escalated",B337+Settings!$B$9,WORKDAY(B337,Settings!$B$8))),IF(L337="Escalated",B337+Settings!$B$9,WORKDAY(B337,Settings!$B$8))))</f>
        <v/>
      </c>
      <c r="S337" s="45" t="n"/>
      <c r="T337" s="44" t="n"/>
      <c r="U337" s="46" t="n"/>
      <c r="V337" s="44" t="n"/>
      <c r="W337" s="44" t="n"/>
      <c r="X337" s="44" t="n"/>
      <c r="Y337" s="41">
        <f>IF(B337="","",IF(S337&lt;&gt;"",S337,Settings!$B$4)-B337)</f>
        <v/>
      </c>
      <c r="Z337" s="41">
        <f>IF(B337="","",IF(S337&lt;&gt;"",IF(S337&gt;R337,"Closed late","Closed on time"),IF(Settings!$B$4&gt;R337,"Open: overdue","Open")))</f>
        <v/>
      </c>
      <c r="AA337" s="41">
        <f>IF(B337="","",IF(NETWORKDAYS(B337,C337)-1&gt;Settings!$B$5,"Logged late",IF(AND(L337="Escalated",M337=""),"Escalate to Compliance",IF(AND(L337="Escalated",N337=""),"Notify Sponsor Bank",IF(AND(L337="Escalated",N337&lt;&gt;"",NETWORKDAYS(B337,N337)-1&gt;Settings!$B$10),"Sponsor Bank notified late",IF(AND(K337&lt;&gt;"",K337&lt;&gt;"None",Q337=""),"Enter the legal deadline",IF(AND(S337&lt;&gt;"",OR(T337="",V337="")),"Record outcome and root cause",IF(AND(P337="",S337="",Settings!$B$4&gt;O337),"Acknowledgment overdue",""))))))))</f>
        <v/>
      </c>
    </row>
    <row r="338" ht="15.75" customHeight="1" s="31">
      <c r="A338" s="44" t="n"/>
      <c r="B338" s="45" t="n"/>
      <c r="C338" s="45" t="n"/>
      <c r="D338" s="44" t="n"/>
      <c r="E338" s="44" t="n"/>
      <c r="F338" s="44" t="n"/>
      <c r="G338" s="44" t="n"/>
      <c r="H338" s="44" t="n"/>
      <c r="I338" s="44" t="n"/>
      <c r="J338" s="44" t="n"/>
      <c r="K338" s="44" t="n"/>
      <c r="L338" s="41">
        <f>IF(B338="","",IF(OR(COUNTIF(Settings!$E$4:$E$9,D338)&gt;0,I338="Yes",J338="Yes",K338="Fair lending allegation"),"Escalated","Standard"))</f>
        <v/>
      </c>
      <c r="M338" s="45" t="n"/>
      <c r="N338" s="45" t="n"/>
      <c r="O338" s="42">
        <f>IF(B338="","",WORKDAY(B338,Settings!$B$7))</f>
        <v/>
      </c>
      <c r="P338" s="45" t="n"/>
      <c r="Q338" s="45" t="n"/>
      <c r="R338" s="42">
        <f>IF(B338="","",IF(Q338&lt;&gt;"",MIN(Q338,IF(L338="Escalated",B338+Settings!$B$9,WORKDAY(B338,Settings!$B$8))),IF(L338="Escalated",B338+Settings!$B$9,WORKDAY(B338,Settings!$B$8))))</f>
        <v/>
      </c>
      <c r="S338" s="45" t="n"/>
      <c r="T338" s="44" t="n"/>
      <c r="U338" s="46" t="n"/>
      <c r="V338" s="44" t="n"/>
      <c r="W338" s="44" t="n"/>
      <c r="X338" s="44" t="n"/>
      <c r="Y338" s="41">
        <f>IF(B338="","",IF(S338&lt;&gt;"",S338,Settings!$B$4)-B338)</f>
        <v/>
      </c>
      <c r="Z338" s="41">
        <f>IF(B338="","",IF(S338&lt;&gt;"",IF(S338&gt;R338,"Closed late","Closed on time"),IF(Settings!$B$4&gt;R338,"Open: overdue","Open")))</f>
        <v/>
      </c>
      <c r="AA338" s="41">
        <f>IF(B338="","",IF(NETWORKDAYS(B338,C338)-1&gt;Settings!$B$5,"Logged late",IF(AND(L338="Escalated",M338=""),"Escalate to Compliance",IF(AND(L338="Escalated",N338=""),"Notify Sponsor Bank",IF(AND(L338="Escalated",N338&lt;&gt;"",NETWORKDAYS(B338,N338)-1&gt;Settings!$B$10),"Sponsor Bank notified late",IF(AND(K338&lt;&gt;"",K338&lt;&gt;"None",Q338=""),"Enter the legal deadline",IF(AND(S338&lt;&gt;"",OR(T338="",V338="")),"Record outcome and root cause",IF(AND(P338="",S338="",Settings!$B$4&gt;O338),"Acknowledgment overdue",""))))))))</f>
        <v/>
      </c>
    </row>
    <row r="339" ht="15.75" customHeight="1" s="31">
      <c r="A339" s="44" t="n"/>
      <c r="B339" s="45" t="n"/>
      <c r="C339" s="45" t="n"/>
      <c r="D339" s="44" t="n"/>
      <c r="E339" s="44" t="n"/>
      <c r="F339" s="44" t="n"/>
      <c r="G339" s="44" t="n"/>
      <c r="H339" s="44" t="n"/>
      <c r="I339" s="44" t="n"/>
      <c r="J339" s="44" t="n"/>
      <c r="K339" s="44" t="n"/>
      <c r="L339" s="41">
        <f>IF(B339="","",IF(OR(COUNTIF(Settings!$E$4:$E$9,D339)&gt;0,I339="Yes",J339="Yes",K339="Fair lending allegation"),"Escalated","Standard"))</f>
        <v/>
      </c>
      <c r="M339" s="45" t="n"/>
      <c r="N339" s="45" t="n"/>
      <c r="O339" s="42">
        <f>IF(B339="","",WORKDAY(B339,Settings!$B$7))</f>
        <v/>
      </c>
      <c r="P339" s="45" t="n"/>
      <c r="Q339" s="45" t="n"/>
      <c r="R339" s="42">
        <f>IF(B339="","",IF(Q339&lt;&gt;"",MIN(Q339,IF(L339="Escalated",B339+Settings!$B$9,WORKDAY(B339,Settings!$B$8))),IF(L339="Escalated",B339+Settings!$B$9,WORKDAY(B339,Settings!$B$8))))</f>
        <v/>
      </c>
      <c r="S339" s="45" t="n"/>
      <c r="T339" s="44" t="n"/>
      <c r="U339" s="46" t="n"/>
      <c r="V339" s="44" t="n"/>
      <c r="W339" s="44" t="n"/>
      <c r="X339" s="44" t="n"/>
      <c r="Y339" s="41">
        <f>IF(B339="","",IF(S339&lt;&gt;"",S339,Settings!$B$4)-B339)</f>
        <v/>
      </c>
      <c r="Z339" s="41">
        <f>IF(B339="","",IF(S339&lt;&gt;"",IF(S339&gt;R339,"Closed late","Closed on time"),IF(Settings!$B$4&gt;R339,"Open: overdue","Open")))</f>
        <v/>
      </c>
      <c r="AA339" s="41">
        <f>IF(B339="","",IF(NETWORKDAYS(B339,C339)-1&gt;Settings!$B$5,"Logged late",IF(AND(L339="Escalated",M339=""),"Escalate to Compliance",IF(AND(L339="Escalated",N339=""),"Notify Sponsor Bank",IF(AND(L339="Escalated",N339&lt;&gt;"",NETWORKDAYS(B339,N339)-1&gt;Settings!$B$10),"Sponsor Bank notified late",IF(AND(K339&lt;&gt;"",K339&lt;&gt;"None",Q339=""),"Enter the legal deadline",IF(AND(S339&lt;&gt;"",OR(T339="",V339="")),"Record outcome and root cause",IF(AND(P339="",S339="",Settings!$B$4&gt;O339),"Acknowledgment overdue",""))))))))</f>
        <v/>
      </c>
    </row>
    <row r="340" ht="15.75" customHeight="1" s="31">
      <c r="A340" s="44" t="n"/>
      <c r="B340" s="45" t="n"/>
      <c r="C340" s="45" t="n"/>
      <c r="D340" s="44" t="n"/>
      <c r="E340" s="44" t="n"/>
      <c r="F340" s="44" t="n"/>
      <c r="G340" s="44" t="n"/>
      <c r="H340" s="44" t="n"/>
      <c r="I340" s="44" t="n"/>
      <c r="J340" s="44" t="n"/>
      <c r="K340" s="44" t="n"/>
      <c r="L340" s="41">
        <f>IF(B340="","",IF(OR(COUNTIF(Settings!$E$4:$E$9,D340)&gt;0,I340="Yes",J340="Yes",K340="Fair lending allegation"),"Escalated","Standard"))</f>
        <v/>
      </c>
      <c r="M340" s="45" t="n"/>
      <c r="N340" s="45" t="n"/>
      <c r="O340" s="42">
        <f>IF(B340="","",WORKDAY(B340,Settings!$B$7))</f>
        <v/>
      </c>
      <c r="P340" s="45" t="n"/>
      <c r="Q340" s="45" t="n"/>
      <c r="R340" s="42">
        <f>IF(B340="","",IF(Q340&lt;&gt;"",MIN(Q340,IF(L340="Escalated",B340+Settings!$B$9,WORKDAY(B340,Settings!$B$8))),IF(L340="Escalated",B340+Settings!$B$9,WORKDAY(B340,Settings!$B$8))))</f>
        <v/>
      </c>
      <c r="S340" s="45" t="n"/>
      <c r="T340" s="44" t="n"/>
      <c r="U340" s="46" t="n"/>
      <c r="V340" s="44" t="n"/>
      <c r="W340" s="44" t="n"/>
      <c r="X340" s="44" t="n"/>
      <c r="Y340" s="41">
        <f>IF(B340="","",IF(S340&lt;&gt;"",S340,Settings!$B$4)-B340)</f>
        <v/>
      </c>
      <c r="Z340" s="41">
        <f>IF(B340="","",IF(S340&lt;&gt;"",IF(S340&gt;R340,"Closed late","Closed on time"),IF(Settings!$B$4&gt;R340,"Open: overdue","Open")))</f>
        <v/>
      </c>
      <c r="AA340" s="41">
        <f>IF(B340="","",IF(NETWORKDAYS(B340,C340)-1&gt;Settings!$B$5,"Logged late",IF(AND(L340="Escalated",M340=""),"Escalate to Compliance",IF(AND(L340="Escalated",N340=""),"Notify Sponsor Bank",IF(AND(L340="Escalated",N340&lt;&gt;"",NETWORKDAYS(B340,N340)-1&gt;Settings!$B$10),"Sponsor Bank notified late",IF(AND(K340&lt;&gt;"",K340&lt;&gt;"None",Q340=""),"Enter the legal deadline",IF(AND(S340&lt;&gt;"",OR(T340="",V340="")),"Record outcome and root cause",IF(AND(P340="",S340="",Settings!$B$4&gt;O340),"Acknowledgment overdue",""))))))))</f>
        <v/>
      </c>
    </row>
    <row r="341" ht="15.75" customHeight="1" s="31">
      <c r="A341" s="44" t="n"/>
      <c r="B341" s="45" t="n"/>
      <c r="C341" s="45" t="n"/>
      <c r="D341" s="44" t="n"/>
      <c r="E341" s="44" t="n"/>
      <c r="F341" s="44" t="n"/>
      <c r="G341" s="44" t="n"/>
      <c r="H341" s="44" t="n"/>
      <c r="I341" s="44" t="n"/>
      <c r="J341" s="44" t="n"/>
      <c r="K341" s="44" t="n"/>
      <c r="L341" s="41">
        <f>IF(B341="","",IF(OR(COUNTIF(Settings!$E$4:$E$9,D341)&gt;0,I341="Yes",J341="Yes",K341="Fair lending allegation"),"Escalated","Standard"))</f>
        <v/>
      </c>
      <c r="M341" s="45" t="n"/>
      <c r="N341" s="45" t="n"/>
      <c r="O341" s="42">
        <f>IF(B341="","",WORKDAY(B341,Settings!$B$7))</f>
        <v/>
      </c>
      <c r="P341" s="45" t="n"/>
      <c r="Q341" s="45" t="n"/>
      <c r="R341" s="42">
        <f>IF(B341="","",IF(Q341&lt;&gt;"",MIN(Q341,IF(L341="Escalated",B341+Settings!$B$9,WORKDAY(B341,Settings!$B$8))),IF(L341="Escalated",B341+Settings!$B$9,WORKDAY(B341,Settings!$B$8))))</f>
        <v/>
      </c>
      <c r="S341" s="45" t="n"/>
      <c r="T341" s="44" t="n"/>
      <c r="U341" s="46" t="n"/>
      <c r="V341" s="44" t="n"/>
      <c r="W341" s="44" t="n"/>
      <c r="X341" s="44" t="n"/>
      <c r="Y341" s="41">
        <f>IF(B341="","",IF(S341&lt;&gt;"",S341,Settings!$B$4)-B341)</f>
        <v/>
      </c>
      <c r="Z341" s="41">
        <f>IF(B341="","",IF(S341&lt;&gt;"",IF(S341&gt;R341,"Closed late","Closed on time"),IF(Settings!$B$4&gt;R341,"Open: overdue","Open")))</f>
        <v/>
      </c>
      <c r="AA341" s="41">
        <f>IF(B341="","",IF(NETWORKDAYS(B341,C341)-1&gt;Settings!$B$5,"Logged late",IF(AND(L341="Escalated",M341=""),"Escalate to Compliance",IF(AND(L341="Escalated",N341=""),"Notify Sponsor Bank",IF(AND(L341="Escalated",N341&lt;&gt;"",NETWORKDAYS(B341,N341)-1&gt;Settings!$B$10),"Sponsor Bank notified late",IF(AND(K341&lt;&gt;"",K341&lt;&gt;"None",Q341=""),"Enter the legal deadline",IF(AND(S341&lt;&gt;"",OR(T341="",V341="")),"Record outcome and root cause",IF(AND(P341="",S341="",Settings!$B$4&gt;O341),"Acknowledgment overdue",""))))))))</f>
        <v/>
      </c>
    </row>
    <row r="342" ht="15.75" customHeight="1" s="31">
      <c r="A342" s="44" t="n"/>
      <c r="B342" s="45" t="n"/>
      <c r="C342" s="45" t="n"/>
      <c r="D342" s="44" t="n"/>
      <c r="E342" s="44" t="n"/>
      <c r="F342" s="44" t="n"/>
      <c r="G342" s="44" t="n"/>
      <c r="H342" s="44" t="n"/>
      <c r="I342" s="44" t="n"/>
      <c r="J342" s="44" t="n"/>
      <c r="K342" s="44" t="n"/>
      <c r="L342" s="41">
        <f>IF(B342="","",IF(OR(COUNTIF(Settings!$E$4:$E$9,D342)&gt;0,I342="Yes",J342="Yes",K342="Fair lending allegation"),"Escalated","Standard"))</f>
        <v/>
      </c>
      <c r="M342" s="45" t="n"/>
      <c r="N342" s="45" t="n"/>
      <c r="O342" s="42">
        <f>IF(B342="","",WORKDAY(B342,Settings!$B$7))</f>
        <v/>
      </c>
      <c r="P342" s="45" t="n"/>
      <c r="Q342" s="45" t="n"/>
      <c r="R342" s="42">
        <f>IF(B342="","",IF(Q342&lt;&gt;"",MIN(Q342,IF(L342="Escalated",B342+Settings!$B$9,WORKDAY(B342,Settings!$B$8))),IF(L342="Escalated",B342+Settings!$B$9,WORKDAY(B342,Settings!$B$8))))</f>
        <v/>
      </c>
      <c r="S342" s="45" t="n"/>
      <c r="T342" s="44" t="n"/>
      <c r="U342" s="46" t="n"/>
      <c r="V342" s="44" t="n"/>
      <c r="W342" s="44" t="n"/>
      <c r="X342" s="44" t="n"/>
      <c r="Y342" s="41">
        <f>IF(B342="","",IF(S342&lt;&gt;"",S342,Settings!$B$4)-B342)</f>
        <v/>
      </c>
      <c r="Z342" s="41">
        <f>IF(B342="","",IF(S342&lt;&gt;"",IF(S342&gt;R342,"Closed late","Closed on time"),IF(Settings!$B$4&gt;R342,"Open: overdue","Open")))</f>
        <v/>
      </c>
      <c r="AA342" s="41">
        <f>IF(B342="","",IF(NETWORKDAYS(B342,C342)-1&gt;Settings!$B$5,"Logged late",IF(AND(L342="Escalated",M342=""),"Escalate to Compliance",IF(AND(L342="Escalated",N342=""),"Notify Sponsor Bank",IF(AND(L342="Escalated",N342&lt;&gt;"",NETWORKDAYS(B342,N342)-1&gt;Settings!$B$10),"Sponsor Bank notified late",IF(AND(K342&lt;&gt;"",K342&lt;&gt;"None",Q342=""),"Enter the legal deadline",IF(AND(S342&lt;&gt;"",OR(T342="",V342="")),"Record outcome and root cause",IF(AND(P342="",S342="",Settings!$B$4&gt;O342),"Acknowledgment overdue",""))))))))</f>
        <v/>
      </c>
    </row>
    <row r="343" ht="15.75" customHeight="1" s="31">
      <c r="A343" s="44" t="n"/>
      <c r="B343" s="45" t="n"/>
      <c r="C343" s="45" t="n"/>
      <c r="D343" s="44" t="n"/>
      <c r="E343" s="44" t="n"/>
      <c r="F343" s="44" t="n"/>
      <c r="G343" s="44" t="n"/>
      <c r="H343" s="44" t="n"/>
      <c r="I343" s="44" t="n"/>
      <c r="J343" s="44" t="n"/>
      <c r="K343" s="44" t="n"/>
      <c r="L343" s="41">
        <f>IF(B343="","",IF(OR(COUNTIF(Settings!$E$4:$E$9,D343)&gt;0,I343="Yes",J343="Yes",K343="Fair lending allegation"),"Escalated","Standard"))</f>
        <v/>
      </c>
      <c r="M343" s="45" t="n"/>
      <c r="N343" s="45" t="n"/>
      <c r="O343" s="42">
        <f>IF(B343="","",WORKDAY(B343,Settings!$B$7))</f>
        <v/>
      </c>
      <c r="P343" s="45" t="n"/>
      <c r="Q343" s="45" t="n"/>
      <c r="R343" s="42">
        <f>IF(B343="","",IF(Q343&lt;&gt;"",MIN(Q343,IF(L343="Escalated",B343+Settings!$B$9,WORKDAY(B343,Settings!$B$8))),IF(L343="Escalated",B343+Settings!$B$9,WORKDAY(B343,Settings!$B$8))))</f>
        <v/>
      </c>
      <c r="S343" s="45" t="n"/>
      <c r="T343" s="44" t="n"/>
      <c r="U343" s="46" t="n"/>
      <c r="V343" s="44" t="n"/>
      <c r="W343" s="44" t="n"/>
      <c r="X343" s="44" t="n"/>
      <c r="Y343" s="41">
        <f>IF(B343="","",IF(S343&lt;&gt;"",S343,Settings!$B$4)-B343)</f>
        <v/>
      </c>
      <c r="Z343" s="41">
        <f>IF(B343="","",IF(S343&lt;&gt;"",IF(S343&gt;R343,"Closed late","Closed on time"),IF(Settings!$B$4&gt;R343,"Open: overdue","Open")))</f>
        <v/>
      </c>
      <c r="AA343" s="41">
        <f>IF(B343="","",IF(NETWORKDAYS(B343,C343)-1&gt;Settings!$B$5,"Logged late",IF(AND(L343="Escalated",M343=""),"Escalate to Compliance",IF(AND(L343="Escalated",N343=""),"Notify Sponsor Bank",IF(AND(L343="Escalated",N343&lt;&gt;"",NETWORKDAYS(B343,N343)-1&gt;Settings!$B$10),"Sponsor Bank notified late",IF(AND(K343&lt;&gt;"",K343&lt;&gt;"None",Q343=""),"Enter the legal deadline",IF(AND(S343&lt;&gt;"",OR(T343="",V343="")),"Record outcome and root cause",IF(AND(P343="",S343="",Settings!$B$4&gt;O343),"Acknowledgment overdue",""))))))))</f>
        <v/>
      </c>
    </row>
    <row r="344" ht="15.75" customHeight="1" s="31">
      <c r="A344" s="44" t="n"/>
      <c r="B344" s="45" t="n"/>
      <c r="C344" s="45" t="n"/>
      <c r="D344" s="44" t="n"/>
      <c r="E344" s="44" t="n"/>
      <c r="F344" s="44" t="n"/>
      <c r="G344" s="44" t="n"/>
      <c r="H344" s="44" t="n"/>
      <c r="I344" s="44" t="n"/>
      <c r="J344" s="44" t="n"/>
      <c r="K344" s="44" t="n"/>
      <c r="L344" s="41">
        <f>IF(B344="","",IF(OR(COUNTIF(Settings!$E$4:$E$9,D344)&gt;0,I344="Yes",J344="Yes",K344="Fair lending allegation"),"Escalated","Standard"))</f>
        <v/>
      </c>
      <c r="M344" s="45" t="n"/>
      <c r="N344" s="45" t="n"/>
      <c r="O344" s="42">
        <f>IF(B344="","",WORKDAY(B344,Settings!$B$7))</f>
        <v/>
      </c>
      <c r="P344" s="45" t="n"/>
      <c r="Q344" s="45" t="n"/>
      <c r="R344" s="42">
        <f>IF(B344="","",IF(Q344&lt;&gt;"",MIN(Q344,IF(L344="Escalated",B344+Settings!$B$9,WORKDAY(B344,Settings!$B$8))),IF(L344="Escalated",B344+Settings!$B$9,WORKDAY(B344,Settings!$B$8))))</f>
        <v/>
      </c>
      <c r="S344" s="45" t="n"/>
      <c r="T344" s="44" t="n"/>
      <c r="U344" s="46" t="n"/>
      <c r="V344" s="44" t="n"/>
      <c r="W344" s="44" t="n"/>
      <c r="X344" s="44" t="n"/>
      <c r="Y344" s="41">
        <f>IF(B344="","",IF(S344&lt;&gt;"",S344,Settings!$B$4)-B344)</f>
        <v/>
      </c>
      <c r="Z344" s="41">
        <f>IF(B344="","",IF(S344&lt;&gt;"",IF(S344&gt;R344,"Closed late","Closed on time"),IF(Settings!$B$4&gt;R344,"Open: overdue","Open")))</f>
        <v/>
      </c>
      <c r="AA344" s="41">
        <f>IF(B344="","",IF(NETWORKDAYS(B344,C344)-1&gt;Settings!$B$5,"Logged late",IF(AND(L344="Escalated",M344=""),"Escalate to Compliance",IF(AND(L344="Escalated",N344=""),"Notify Sponsor Bank",IF(AND(L344="Escalated",N344&lt;&gt;"",NETWORKDAYS(B344,N344)-1&gt;Settings!$B$10),"Sponsor Bank notified late",IF(AND(K344&lt;&gt;"",K344&lt;&gt;"None",Q344=""),"Enter the legal deadline",IF(AND(S344&lt;&gt;"",OR(T344="",V344="")),"Record outcome and root cause",IF(AND(P344="",S344="",Settings!$B$4&gt;O344),"Acknowledgment overdue",""))))))))</f>
        <v/>
      </c>
    </row>
    <row r="345" ht="15.75" customHeight="1" s="31">
      <c r="A345" s="44" t="n"/>
      <c r="B345" s="45" t="n"/>
      <c r="C345" s="45" t="n"/>
      <c r="D345" s="44" t="n"/>
      <c r="E345" s="44" t="n"/>
      <c r="F345" s="44" t="n"/>
      <c r="G345" s="44" t="n"/>
      <c r="H345" s="44" t="n"/>
      <c r="I345" s="44" t="n"/>
      <c r="J345" s="44" t="n"/>
      <c r="K345" s="44" t="n"/>
      <c r="L345" s="41">
        <f>IF(B345="","",IF(OR(COUNTIF(Settings!$E$4:$E$9,D345)&gt;0,I345="Yes",J345="Yes",K345="Fair lending allegation"),"Escalated","Standard"))</f>
        <v/>
      </c>
      <c r="M345" s="45" t="n"/>
      <c r="N345" s="45" t="n"/>
      <c r="O345" s="42">
        <f>IF(B345="","",WORKDAY(B345,Settings!$B$7))</f>
        <v/>
      </c>
      <c r="P345" s="45" t="n"/>
      <c r="Q345" s="45" t="n"/>
      <c r="R345" s="42">
        <f>IF(B345="","",IF(Q345&lt;&gt;"",MIN(Q345,IF(L345="Escalated",B345+Settings!$B$9,WORKDAY(B345,Settings!$B$8))),IF(L345="Escalated",B345+Settings!$B$9,WORKDAY(B345,Settings!$B$8))))</f>
        <v/>
      </c>
      <c r="S345" s="45" t="n"/>
      <c r="T345" s="44" t="n"/>
      <c r="U345" s="46" t="n"/>
      <c r="V345" s="44" t="n"/>
      <c r="W345" s="44" t="n"/>
      <c r="X345" s="44" t="n"/>
      <c r="Y345" s="41">
        <f>IF(B345="","",IF(S345&lt;&gt;"",S345,Settings!$B$4)-B345)</f>
        <v/>
      </c>
      <c r="Z345" s="41">
        <f>IF(B345="","",IF(S345&lt;&gt;"",IF(S345&gt;R345,"Closed late","Closed on time"),IF(Settings!$B$4&gt;R345,"Open: overdue","Open")))</f>
        <v/>
      </c>
      <c r="AA345" s="41">
        <f>IF(B345="","",IF(NETWORKDAYS(B345,C345)-1&gt;Settings!$B$5,"Logged late",IF(AND(L345="Escalated",M345=""),"Escalate to Compliance",IF(AND(L345="Escalated",N345=""),"Notify Sponsor Bank",IF(AND(L345="Escalated",N345&lt;&gt;"",NETWORKDAYS(B345,N345)-1&gt;Settings!$B$10),"Sponsor Bank notified late",IF(AND(K345&lt;&gt;"",K345&lt;&gt;"None",Q345=""),"Enter the legal deadline",IF(AND(S345&lt;&gt;"",OR(T345="",V345="")),"Record outcome and root cause",IF(AND(P345="",S345="",Settings!$B$4&gt;O345),"Acknowledgment overdue",""))))))))</f>
        <v/>
      </c>
    </row>
    <row r="346" ht="15.75" customHeight="1" s="31">
      <c r="A346" s="44" t="n"/>
      <c r="B346" s="45" t="n"/>
      <c r="C346" s="45" t="n"/>
      <c r="D346" s="44" t="n"/>
      <c r="E346" s="44" t="n"/>
      <c r="F346" s="44" t="n"/>
      <c r="G346" s="44" t="n"/>
      <c r="H346" s="44" t="n"/>
      <c r="I346" s="44" t="n"/>
      <c r="J346" s="44" t="n"/>
      <c r="K346" s="44" t="n"/>
      <c r="L346" s="41">
        <f>IF(B346="","",IF(OR(COUNTIF(Settings!$E$4:$E$9,D346)&gt;0,I346="Yes",J346="Yes",K346="Fair lending allegation"),"Escalated","Standard"))</f>
        <v/>
      </c>
      <c r="M346" s="45" t="n"/>
      <c r="N346" s="45" t="n"/>
      <c r="O346" s="42">
        <f>IF(B346="","",WORKDAY(B346,Settings!$B$7))</f>
        <v/>
      </c>
      <c r="P346" s="45" t="n"/>
      <c r="Q346" s="45" t="n"/>
      <c r="R346" s="42">
        <f>IF(B346="","",IF(Q346&lt;&gt;"",MIN(Q346,IF(L346="Escalated",B346+Settings!$B$9,WORKDAY(B346,Settings!$B$8))),IF(L346="Escalated",B346+Settings!$B$9,WORKDAY(B346,Settings!$B$8))))</f>
        <v/>
      </c>
      <c r="S346" s="45" t="n"/>
      <c r="T346" s="44" t="n"/>
      <c r="U346" s="46" t="n"/>
      <c r="V346" s="44" t="n"/>
      <c r="W346" s="44" t="n"/>
      <c r="X346" s="44" t="n"/>
      <c r="Y346" s="41">
        <f>IF(B346="","",IF(S346&lt;&gt;"",S346,Settings!$B$4)-B346)</f>
        <v/>
      </c>
      <c r="Z346" s="41">
        <f>IF(B346="","",IF(S346&lt;&gt;"",IF(S346&gt;R346,"Closed late","Closed on time"),IF(Settings!$B$4&gt;R346,"Open: overdue","Open")))</f>
        <v/>
      </c>
      <c r="AA346" s="41">
        <f>IF(B346="","",IF(NETWORKDAYS(B346,C346)-1&gt;Settings!$B$5,"Logged late",IF(AND(L346="Escalated",M346=""),"Escalate to Compliance",IF(AND(L346="Escalated",N346=""),"Notify Sponsor Bank",IF(AND(L346="Escalated",N346&lt;&gt;"",NETWORKDAYS(B346,N346)-1&gt;Settings!$B$10),"Sponsor Bank notified late",IF(AND(K346&lt;&gt;"",K346&lt;&gt;"None",Q346=""),"Enter the legal deadline",IF(AND(S346&lt;&gt;"",OR(T346="",V346="")),"Record outcome and root cause",IF(AND(P346="",S346="",Settings!$B$4&gt;O346),"Acknowledgment overdue",""))))))))</f>
        <v/>
      </c>
    </row>
    <row r="347" ht="15.75" customHeight="1" s="31">
      <c r="A347" s="44" t="n"/>
      <c r="B347" s="45" t="n"/>
      <c r="C347" s="45" t="n"/>
      <c r="D347" s="44" t="n"/>
      <c r="E347" s="44" t="n"/>
      <c r="F347" s="44" t="n"/>
      <c r="G347" s="44" t="n"/>
      <c r="H347" s="44" t="n"/>
      <c r="I347" s="44" t="n"/>
      <c r="J347" s="44" t="n"/>
      <c r="K347" s="44" t="n"/>
      <c r="L347" s="41">
        <f>IF(B347="","",IF(OR(COUNTIF(Settings!$E$4:$E$9,D347)&gt;0,I347="Yes",J347="Yes",K347="Fair lending allegation"),"Escalated","Standard"))</f>
        <v/>
      </c>
      <c r="M347" s="45" t="n"/>
      <c r="N347" s="45" t="n"/>
      <c r="O347" s="42">
        <f>IF(B347="","",WORKDAY(B347,Settings!$B$7))</f>
        <v/>
      </c>
      <c r="P347" s="45" t="n"/>
      <c r="Q347" s="45" t="n"/>
      <c r="R347" s="42">
        <f>IF(B347="","",IF(Q347&lt;&gt;"",MIN(Q347,IF(L347="Escalated",B347+Settings!$B$9,WORKDAY(B347,Settings!$B$8))),IF(L347="Escalated",B347+Settings!$B$9,WORKDAY(B347,Settings!$B$8))))</f>
        <v/>
      </c>
      <c r="S347" s="45" t="n"/>
      <c r="T347" s="44" t="n"/>
      <c r="U347" s="46" t="n"/>
      <c r="V347" s="44" t="n"/>
      <c r="W347" s="44" t="n"/>
      <c r="X347" s="44" t="n"/>
      <c r="Y347" s="41">
        <f>IF(B347="","",IF(S347&lt;&gt;"",S347,Settings!$B$4)-B347)</f>
        <v/>
      </c>
      <c r="Z347" s="41">
        <f>IF(B347="","",IF(S347&lt;&gt;"",IF(S347&gt;R347,"Closed late","Closed on time"),IF(Settings!$B$4&gt;R347,"Open: overdue","Open")))</f>
        <v/>
      </c>
      <c r="AA347" s="41">
        <f>IF(B347="","",IF(NETWORKDAYS(B347,C347)-1&gt;Settings!$B$5,"Logged late",IF(AND(L347="Escalated",M347=""),"Escalate to Compliance",IF(AND(L347="Escalated",N347=""),"Notify Sponsor Bank",IF(AND(L347="Escalated",N347&lt;&gt;"",NETWORKDAYS(B347,N347)-1&gt;Settings!$B$10),"Sponsor Bank notified late",IF(AND(K347&lt;&gt;"",K347&lt;&gt;"None",Q347=""),"Enter the legal deadline",IF(AND(S347&lt;&gt;"",OR(T347="",V347="")),"Record outcome and root cause",IF(AND(P347="",S347="",Settings!$B$4&gt;O347),"Acknowledgment overdue",""))))))))</f>
        <v/>
      </c>
    </row>
    <row r="348" ht="15.75" customHeight="1" s="31">
      <c r="A348" s="44" t="n"/>
      <c r="B348" s="45" t="n"/>
      <c r="C348" s="45" t="n"/>
      <c r="D348" s="44" t="n"/>
      <c r="E348" s="44" t="n"/>
      <c r="F348" s="44" t="n"/>
      <c r="G348" s="44" t="n"/>
      <c r="H348" s="44" t="n"/>
      <c r="I348" s="44" t="n"/>
      <c r="J348" s="44" t="n"/>
      <c r="K348" s="44" t="n"/>
      <c r="L348" s="41">
        <f>IF(B348="","",IF(OR(COUNTIF(Settings!$E$4:$E$9,D348)&gt;0,I348="Yes",J348="Yes",K348="Fair lending allegation"),"Escalated","Standard"))</f>
        <v/>
      </c>
      <c r="M348" s="45" t="n"/>
      <c r="N348" s="45" t="n"/>
      <c r="O348" s="42">
        <f>IF(B348="","",WORKDAY(B348,Settings!$B$7))</f>
        <v/>
      </c>
      <c r="P348" s="45" t="n"/>
      <c r="Q348" s="45" t="n"/>
      <c r="R348" s="42">
        <f>IF(B348="","",IF(Q348&lt;&gt;"",MIN(Q348,IF(L348="Escalated",B348+Settings!$B$9,WORKDAY(B348,Settings!$B$8))),IF(L348="Escalated",B348+Settings!$B$9,WORKDAY(B348,Settings!$B$8))))</f>
        <v/>
      </c>
      <c r="S348" s="45" t="n"/>
      <c r="T348" s="44" t="n"/>
      <c r="U348" s="46" t="n"/>
      <c r="V348" s="44" t="n"/>
      <c r="W348" s="44" t="n"/>
      <c r="X348" s="44" t="n"/>
      <c r="Y348" s="41">
        <f>IF(B348="","",IF(S348&lt;&gt;"",S348,Settings!$B$4)-B348)</f>
        <v/>
      </c>
      <c r="Z348" s="41">
        <f>IF(B348="","",IF(S348&lt;&gt;"",IF(S348&gt;R348,"Closed late","Closed on time"),IF(Settings!$B$4&gt;R348,"Open: overdue","Open")))</f>
        <v/>
      </c>
      <c r="AA348" s="41">
        <f>IF(B348="","",IF(NETWORKDAYS(B348,C348)-1&gt;Settings!$B$5,"Logged late",IF(AND(L348="Escalated",M348=""),"Escalate to Compliance",IF(AND(L348="Escalated",N348=""),"Notify Sponsor Bank",IF(AND(L348="Escalated",N348&lt;&gt;"",NETWORKDAYS(B348,N348)-1&gt;Settings!$B$10),"Sponsor Bank notified late",IF(AND(K348&lt;&gt;"",K348&lt;&gt;"None",Q348=""),"Enter the legal deadline",IF(AND(S348&lt;&gt;"",OR(T348="",V348="")),"Record outcome and root cause",IF(AND(P348="",S348="",Settings!$B$4&gt;O348),"Acknowledgment overdue",""))))))))</f>
        <v/>
      </c>
    </row>
    <row r="349" ht="15.75" customHeight="1" s="31">
      <c r="A349" s="44" t="n"/>
      <c r="B349" s="45" t="n"/>
      <c r="C349" s="45" t="n"/>
      <c r="D349" s="44" t="n"/>
      <c r="E349" s="44" t="n"/>
      <c r="F349" s="44" t="n"/>
      <c r="G349" s="44" t="n"/>
      <c r="H349" s="44" t="n"/>
      <c r="I349" s="44" t="n"/>
      <c r="J349" s="44" t="n"/>
      <c r="K349" s="44" t="n"/>
      <c r="L349" s="41">
        <f>IF(B349="","",IF(OR(COUNTIF(Settings!$E$4:$E$9,D349)&gt;0,I349="Yes",J349="Yes",K349="Fair lending allegation"),"Escalated","Standard"))</f>
        <v/>
      </c>
      <c r="M349" s="45" t="n"/>
      <c r="N349" s="45" t="n"/>
      <c r="O349" s="42">
        <f>IF(B349="","",WORKDAY(B349,Settings!$B$7))</f>
        <v/>
      </c>
      <c r="P349" s="45" t="n"/>
      <c r="Q349" s="45" t="n"/>
      <c r="R349" s="42">
        <f>IF(B349="","",IF(Q349&lt;&gt;"",MIN(Q349,IF(L349="Escalated",B349+Settings!$B$9,WORKDAY(B349,Settings!$B$8))),IF(L349="Escalated",B349+Settings!$B$9,WORKDAY(B349,Settings!$B$8))))</f>
        <v/>
      </c>
      <c r="S349" s="45" t="n"/>
      <c r="T349" s="44" t="n"/>
      <c r="U349" s="46" t="n"/>
      <c r="V349" s="44" t="n"/>
      <c r="W349" s="44" t="n"/>
      <c r="X349" s="44" t="n"/>
      <c r="Y349" s="41">
        <f>IF(B349="","",IF(S349&lt;&gt;"",S349,Settings!$B$4)-B349)</f>
        <v/>
      </c>
      <c r="Z349" s="41">
        <f>IF(B349="","",IF(S349&lt;&gt;"",IF(S349&gt;R349,"Closed late","Closed on time"),IF(Settings!$B$4&gt;R349,"Open: overdue","Open")))</f>
        <v/>
      </c>
      <c r="AA349" s="41">
        <f>IF(B349="","",IF(NETWORKDAYS(B349,C349)-1&gt;Settings!$B$5,"Logged late",IF(AND(L349="Escalated",M349=""),"Escalate to Compliance",IF(AND(L349="Escalated",N349=""),"Notify Sponsor Bank",IF(AND(L349="Escalated",N349&lt;&gt;"",NETWORKDAYS(B349,N349)-1&gt;Settings!$B$10),"Sponsor Bank notified late",IF(AND(K349&lt;&gt;"",K349&lt;&gt;"None",Q349=""),"Enter the legal deadline",IF(AND(S349&lt;&gt;"",OR(T349="",V349="")),"Record outcome and root cause",IF(AND(P349="",S349="",Settings!$B$4&gt;O349),"Acknowledgment overdue",""))))))))</f>
        <v/>
      </c>
    </row>
    <row r="350" ht="15.75" customHeight="1" s="31">
      <c r="A350" s="44" t="n"/>
      <c r="B350" s="45" t="n"/>
      <c r="C350" s="45" t="n"/>
      <c r="D350" s="44" t="n"/>
      <c r="E350" s="44" t="n"/>
      <c r="F350" s="44" t="n"/>
      <c r="G350" s="44" t="n"/>
      <c r="H350" s="44" t="n"/>
      <c r="I350" s="44" t="n"/>
      <c r="J350" s="44" t="n"/>
      <c r="K350" s="44" t="n"/>
      <c r="L350" s="41">
        <f>IF(B350="","",IF(OR(COUNTIF(Settings!$E$4:$E$9,D350)&gt;0,I350="Yes",J350="Yes",K350="Fair lending allegation"),"Escalated","Standard"))</f>
        <v/>
      </c>
      <c r="M350" s="45" t="n"/>
      <c r="N350" s="45" t="n"/>
      <c r="O350" s="42">
        <f>IF(B350="","",WORKDAY(B350,Settings!$B$7))</f>
        <v/>
      </c>
      <c r="P350" s="45" t="n"/>
      <c r="Q350" s="45" t="n"/>
      <c r="R350" s="42">
        <f>IF(B350="","",IF(Q350&lt;&gt;"",MIN(Q350,IF(L350="Escalated",B350+Settings!$B$9,WORKDAY(B350,Settings!$B$8))),IF(L350="Escalated",B350+Settings!$B$9,WORKDAY(B350,Settings!$B$8))))</f>
        <v/>
      </c>
      <c r="S350" s="45" t="n"/>
      <c r="T350" s="44" t="n"/>
      <c r="U350" s="46" t="n"/>
      <c r="V350" s="44" t="n"/>
      <c r="W350" s="44" t="n"/>
      <c r="X350" s="44" t="n"/>
      <c r="Y350" s="41">
        <f>IF(B350="","",IF(S350&lt;&gt;"",S350,Settings!$B$4)-B350)</f>
        <v/>
      </c>
      <c r="Z350" s="41">
        <f>IF(B350="","",IF(S350&lt;&gt;"",IF(S350&gt;R350,"Closed late","Closed on time"),IF(Settings!$B$4&gt;R350,"Open: overdue","Open")))</f>
        <v/>
      </c>
      <c r="AA350" s="41">
        <f>IF(B350="","",IF(NETWORKDAYS(B350,C350)-1&gt;Settings!$B$5,"Logged late",IF(AND(L350="Escalated",M350=""),"Escalate to Compliance",IF(AND(L350="Escalated",N350=""),"Notify Sponsor Bank",IF(AND(L350="Escalated",N350&lt;&gt;"",NETWORKDAYS(B350,N350)-1&gt;Settings!$B$10),"Sponsor Bank notified late",IF(AND(K350&lt;&gt;"",K350&lt;&gt;"None",Q350=""),"Enter the legal deadline",IF(AND(S350&lt;&gt;"",OR(T350="",V350="")),"Record outcome and root cause",IF(AND(P350="",S350="",Settings!$B$4&gt;O350),"Acknowledgment overdue",""))))))))</f>
        <v/>
      </c>
    </row>
    <row r="351" ht="15.75" customHeight="1" s="31">
      <c r="A351" s="44" t="n"/>
      <c r="B351" s="45" t="n"/>
      <c r="C351" s="45" t="n"/>
      <c r="D351" s="44" t="n"/>
      <c r="E351" s="44" t="n"/>
      <c r="F351" s="44" t="n"/>
      <c r="G351" s="44" t="n"/>
      <c r="H351" s="44" t="n"/>
      <c r="I351" s="44" t="n"/>
      <c r="J351" s="44" t="n"/>
      <c r="K351" s="44" t="n"/>
      <c r="L351" s="41">
        <f>IF(B351="","",IF(OR(COUNTIF(Settings!$E$4:$E$9,D351)&gt;0,I351="Yes",J351="Yes",K351="Fair lending allegation"),"Escalated","Standard"))</f>
        <v/>
      </c>
      <c r="M351" s="45" t="n"/>
      <c r="N351" s="45" t="n"/>
      <c r="O351" s="42">
        <f>IF(B351="","",WORKDAY(B351,Settings!$B$7))</f>
        <v/>
      </c>
      <c r="P351" s="45" t="n"/>
      <c r="Q351" s="45" t="n"/>
      <c r="R351" s="42">
        <f>IF(B351="","",IF(Q351&lt;&gt;"",MIN(Q351,IF(L351="Escalated",B351+Settings!$B$9,WORKDAY(B351,Settings!$B$8))),IF(L351="Escalated",B351+Settings!$B$9,WORKDAY(B351,Settings!$B$8))))</f>
        <v/>
      </c>
      <c r="S351" s="45" t="n"/>
      <c r="T351" s="44" t="n"/>
      <c r="U351" s="46" t="n"/>
      <c r="V351" s="44" t="n"/>
      <c r="W351" s="44" t="n"/>
      <c r="X351" s="44" t="n"/>
      <c r="Y351" s="41">
        <f>IF(B351="","",IF(S351&lt;&gt;"",S351,Settings!$B$4)-B351)</f>
        <v/>
      </c>
      <c r="Z351" s="41">
        <f>IF(B351="","",IF(S351&lt;&gt;"",IF(S351&gt;R351,"Closed late","Closed on time"),IF(Settings!$B$4&gt;R351,"Open: overdue","Open")))</f>
        <v/>
      </c>
      <c r="AA351" s="41">
        <f>IF(B351="","",IF(NETWORKDAYS(B351,C351)-1&gt;Settings!$B$5,"Logged late",IF(AND(L351="Escalated",M351=""),"Escalate to Compliance",IF(AND(L351="Escalated",N351=""),"Notify Sponsor Bank",IF(AND(L351="Escalated",N351&lt;&gt;"",NETWORKDAYS(B351,N351)-1&gt;Settings!$B$10),"Sponsor Bank notified late",IF(AND(K351&lt;&gt;"",K351&lt;&gt;"None",Q351=""),"Enter the legal deadline",IF(AND(S351&lt;&gt;"",OR(T351="",V351="")),"Record outcome and root cause",IF(AND(P351="",S351="",Settings!$B$4&gt;O351),"Acknowledgment overdue",""))))))))</f>
        <v/>
      </c>
    </row>
    <row r="352" ht="15.75" customHeight="1" s="31">
      <c r="A352" s="44" t="n"/>
      <c r="B352" s="45" t="n"/>
      <c r="C352" s="45" t="n"/>
      <c r="D352" s="44" t="n"/>
      <c r="E352" s="44" t="n"/>
      <c r="F352" s="44" t="n"/>
      <c r="G352" s="44" t="n"/>
      <c r="H352" s="44" t="n"/>
      <c r="I352" s="44" t="n"/>
      <c r="J352" s="44" t="n"/>
      <c r="K352" s="44" t="n"/>
      <c r="L352" s="41">
        <f>IF(B352="","",IF(OR(COUNTIF(Settings!$E$4:$E$9,D352)&gt;0,I352="Yes",J352="Yes",K352="Fair lending allegation"),"Escalated","Standard"))</f>
        <v/>
      </c>
      <c r="M352" s="45" t="n"/>
      <c r="N352" s="45" t="n"/>
      <c r="O352" s="42">
        <f>IF(B352="","",WORKDAY(B352,Settings!$B$7))</f>
        <v/>
      </c>
      <c r="P352" s="45" t="n"/>
      <c r="Q352" s="45" t="n"/>
      <c r="R352" s="42">
        <f>IF(B352="","",IF(Q352&lt;&gt;"",MIN(Q352,IF(L352="Escalated",B352+Settings!$B$9,WORKDAY(B352,Settings!$B$8))),IF(L352="Escalated",B352+Settings!$B$9,WORKDAY(B352,Settings!$B$8))))</f>
        <v/>
      </c>
      <c r="S352" s="45" t="n"/>
      <c r="T352" s="44" t="n"/>
      <c r="U352" s="46" t="n"/>
      <c r="V352" s="44" t="n"/>
      <c r="W352" s="44" t="n"/>
      <c r="X352" s="44" t="n"/>
      <c r="Y352" s="41">
        <f>IF(B352="","",IF(S352&lt;&gt;"",S352,Settings!$B$4)-B352)</f>
        <v/>
      </c>
      <c r="Z352" s="41">
        <f>IF(B352="","",IF(S352&lt;&gt;"",IF(S352&gt;R352,"Closed late","Closed on time"),IF(Settings!$B$4&gt;R352,"Open: overdue","Open")))</f>
        <v/>
      </c>
      <c r="AA352" s="41">
        <f>IF(B352="","",IF(NETWORKDAYS(B352,C352)-1&gt;Settings!$B$5,"Logged late",IF(AND(L352="Escalated",M352=""),"Escalate to Compliance",IF(AND(L352="Escalated",N352=""),"Notify Sponsor Bank",IF(AND(L352="Escalated",N352&lt;&gt;"",NETWORKDAYS(B352,N352)-1&gt;Settings!$B$10),"Sponsor Bank notified late",IF(AND(K352&lt;&gt;"",K352&lt;&gt;"None",Q352=""),"Enter the legal deadline",IF(AND(S352&lt;&gt;"",OR(T352="",V352="")),"Record outcome and root cause",IF(AND(P352="",S352="",Settings!$B$4&gt;O352),"Acknowledgment overdue",""))))))))</f>
        <v/>
      </c>
    </row>
    <row r="353" ht="15.75" customHeight="1" s="31">
      <c r="A353" s="44" t="n"/>
      <c r="B353" s="45" t="n"/>
      <c r="C353" s="45" t="n"/>
      <c r="D353" s="44" t="n"/>
      <c r="E353" s="44" t="n"/>
      <c r="F353" s="44" t="n"/>
      <c r="G353" s="44" t="n"/>
      <c r="H353" s="44" t="n"/>
      <c r="I353" s="44" t="n"/>
      <c r="J353" s="44" t="n"/>
      <c r="K353" s="44" t="n"/>
      <c r="L353" s="41">
        <f>IF(B353="","",IF(OR(COUNTIF(Settings!$E$4:$E$9,D353)&gt;0,I353="Yes",J353="Yes",K353="Fair lending allegation"),"Escalated","Standard"))</f>
        <v/>
      </c>
      <c r="M353" s="45" t="n"/>
      <c r="N353" s="45" t="n"/>
      <c r="O353" s="42">
        <f>IF(B353="","",WORKDAY(B353,Settings!$B$7))</f>
        <v/>
      </c>
      <c r="P353" s="45" t="n"/>
      <c r="Q353" s="45" t="n"/>
      <c r="R353" s="42">
        <f>IF(B353="","",IF(Q353&lt;&gt;"",MIN(Q353,IF(L353="Escalated",B353+Settings!$B$9,WORKDAY(B353,Settings!$B$8))),IF(L353="Escalated",B353+Settings!$B$9,WORKDAY(B353,Settings!$B$8))))</f>
        <v/>
      </c>
      <c r="S353" s="45" t="n"/>
      <c r="T353" s="44" t="n"/>
      <c r="U353" s="46" t="n"/>
      <c r="V353" s="44" t="n"/>
      <c r="W353" s="44" t="n"/>
      <c r="X353" s="44" t="n"/>
      <c r="Y353" s="41">
        <f>IF(B353="","",IF(S353&lt;&gt;"",S353,Settings!$B$4)-B353)</f>
        <v/>
      </c>
      <c r="Z353" s="41">
        <f>IF(B353="","",IF(S353&lt;&gt;"",IF(S353&gt;R353,"Closed late","Closed on time"),IF(Settings!$B$4&gt;R353,"Open: overdue","Open")))</f>
        <v/>
      </c>
      <c r="AA353" s="41">
        <f>IF(B353="","",IF(NETWORKDAYS(B353,C353)-1&gt;Settings!$B$5,"Logged late",IF(AND(L353="Escalated",M353=""),"Escalate to Compliance",IF(AND(L353="Escalated",N353=""),"Notify Sponsor Bank",IF(AND(L353="Escalated",N353&lt;&gt;"",NETWORKDAYS(B353,N353)-1&gt;Settings!$B$10),"Sponsor Bank notified late",IF(AND(K353&lt;&gt;"",K353&lt;&gt;"None",Q353=""),"Enter the legal deadline",IF(AND(S353&lt;&gt;"",OR(T353="",V353="")),"Record outcome and root cause",IF(AND(P353="",S353="",Settings!$B$4&gt;O353),"Acknowledgment overdue",""))))))))</f>
        <v/>
      </c>
    </row>
    <row r="354" ht="15.75" customHeight="1" s="31">
      <c r="A354" s="44" t="n"/>
      <c r="B354" s="45" t="n"/>
      <c r="C354" s="45" t="n"/>
      <c r="D354" s="44" t="n"/>
      <c r="E354" s="44" t="n"/>
      <c r="F354" s="44" t="n"/>
      <c r="G354" s="44" t="n"/>
      <c r="H354" s="44" t="n"/>
      <c r="I354" s="44" t="n"/>
      <c r="J354" s="44" t="n"/>
      <c r="K354" s="44" t="n"/>
      <c r="L354" s="41">
        <f>IF(B354="","",IF(OR(COUNTIF(Settings!$E$4:$E$9,D354)&gt;0,I354="Yes",J354="Yes",K354="Fair lending allegation"),"Escalated","Standard"))</f>
        <v/>
      </c>
      <c r="M354" s="45" t="n"/>
      <c r="N354" s="45" t="n"/>
      <c r="O354" s="42">
        <f>IF(B354="","",WORKDAY(B354,Settings!$B$7))</f>
        <v/>
      </c>
      <c r="P354" s="45" t="n"/>
      <c r="Q354" s="45" t="n"/>
      <c r="R354" s="42">
        <f>IF(B354="","",IF(Q354&lt;&gt;"",MIN(Q354,IF(L354="Escalated",B354+Settings!$B$9,WORKDAY(B354,Settings!$B$8))),IF(L354="Escalated",B354+Settings!$B$9,WORKDAY(B354,Settings!$B$8))))</f>
        <v/>
      </c>
      <c r="S354" s="45" t="n"/>
      <c r="T354" s="44" t="n"/>
      <c r="U354" s="46" t="n"/>
      <c r="V354" s="44" t="n"/>
      <c r="W354" s="44" t="n"/>
      <c r="X354" s="44" t="n"/>
      <c r="Y354" s="41">
        <f>IF(B354="","",IF(S354&lt;&gt;"",S354,Settings!$B$4)-B354)</f>
        <v/>
      </c>
      <c r="Z354" s="41">
        <f>IF(B354="","",IF(S354&lt;&gt;"",IF(S354&gt;R354,"Closed late","Closed on time"),IF(Settings!$B$4&gt;R354,"Open: overdue","Open")))</f>
        <v/>
      </c>
      <c r="AA354" s="41">
        <f>IF(B354="","",IF(NETWORKDAYS(B354,C354)-1&gt;Settings!$B$5,"Logged late",IF(AND(L354="Escalated",M354=""),"Escalate to Compliance",IF(AND(L354="Escalated",N354=""),"Notify Sponsor Bank",IF(AND(L354="Escalated",N354&lt;&gt;"",NETWORKDAYS(B354,N354)-1&gt;Settings!$B$10),"Sponsor Bank notified late",IF(AND(K354&lt;&gt;"",K354&lt;&gt;"None",Q354=""),"Enter the legal deadline",IF(AND(S354&lt;&gt;"",OR(T354="",V354="")),"Record outcome and root cause",IF(AND(P354="",S354="",Settings!$B$4&gt;O354),"Acknowledgment overdue",""))))))))</f>
        <v/>
      </c>
    </row>
    <row r="355" ht="15.75" customHeight="1" s="31">
      <c r="A355" s="44" t="n"/>
      <c r="B355" s="45" t="n"/>
      <c r="C355" s="45" t="n"/>
      <c r="D355" s="44" t="n"/>
      <c r="E355" s="44" t="n"/>
      <c r="F355" s="44" t="n"/>
      <c r="G355" s="44" t="n"/>
      <c r="H355" s="44" t="n"/>
      <c r="I355" s="44" t="n"/>
      <c r="J355" s="44" t="n"/>
      <c r="K355" s="44" t="n"/>
      <c r="L355" s="41">
        <f>IF(B355="","",IF(OR(COUNTIF(Settings!$E$4:$E$9,D355)&gt;0,I355="Yes",J355="Yes",K355="Fair lending allegation"),"Escalated","Standard"))</f>
        <v/>
      </c>
      <c r="M355" s="45" t="n"/>
      <c r="N355" s="45" t="n"/>
      <c r="O355" s="42">
        <f>IF(B355="","",WORKDAY(B355,Settings!$B$7))</f>
        <v/>
      </c>
      <c r="P355" s="45" t="n"/>
      <c r="Q355" s="45" t="n"/>
      <c r="R355" s="42">
        <f>IF(B355="","",IF(Q355&lt;&gt;"",MIN(Q355,IF(L355="Escalated",B355+Settings!$B$9,WORKDAY(B355,Settings!$B$8))),IF(L355="Escalated",B355+Settings!$B$9,WORKDAY(B355,Settings!$B$8))))</f>
        <v/>
      </c>
      <c r="S355" s="45" t="n"/>
      <c r="T355" s="44" t="n"/>
      <c r="U355" s="46" t="n"/>
      <c r="V355" s="44" t="n"/>
      <c r="W355" s="44" t="n"/>
      <c r="X355" s="44" t="n"/>
      <c r="Y355" s="41">
        <f>IF(B355="","",IF(S355&lt;&gt;"",S355,Settings!$B$4)-B355)</f>
        <v/>
      </c>
      <c r="Z355" s="41">
        <f>IF(B355="","",IF(S355&lt;&gt;"",IF(S355&gt;R355,"Closed late","Closed on time"),IF(Settings!$B$4&gt;R355,"Open: overdue","Open")))</f>
        <v/>
      </c>
      <c r="AA355" s="41">
        <f>IF(B355="","",IF(NETWORKDAYS(B355,C355)-1&gt;Settings!$B$5,"Logged late",IF(AND(L355="Escalated",M355=""),"Escalate to Compliance",IF(AND(L355="Escalated",N355=""),"Notify Sponsor Bank",IF(AND(L355="Escalated",N355&lt;&gt;"",NETWORKDAYS(B355,N355)-1&gt;Settings!$B$10),"Sponsor Bank notified late",IF(AND(K355&lt;&gt;"",K355&lt;&gt;"None",Q355=""),"Enter the legal deadline",IF(AND(S355&lt;&gt;"",OR(T355="",V355="")),"Record outcome and root cause",IF(AND(P355="",S355="",Settings!$B$4&gt;O355),"Acknowledgment overdue",""))))))))</f>
        <v/>
      </c>
    </row>
    <row r="356" ht="15.75" customHeight="1" s="31">
      <c r="A356" s="44" t="n"/>
      <c r="B356" s="45" t="n"/>
      <c r="C356" s="45" t="n"/>
      <c r="D356" s="44" t="n"/>
      <c r="E356" s="44" t="n"/>
      <c r="F356" s="44" t="n"/>
      <c r="G356" s="44" t="n"/>
      <c r="H356" s="44" t="n"/>
      <c r="I356" s="44" t="n"/>
      <c r="J356" s="44" t="n"/>
      <c r="K356" s="44" t="n"/>
      <c r="L356" s="41">
        <f>IF(B356="","",IF(OR(COUNTIF(Settings!$E$4:$E$9,D356)&gt;0,I356="Yes",J356="Yes",K356="Fair lending allegation"),"Escalated","Standard"))</f>
        <v/>
      </c>
      <c r="M356" s="45" t="n"/>
      <c r="N356" s="45" t="n"/>
      <c r="O356" s="42">
        <f>IF(B356="","",WORKDAY(B356,Settings!$B$7))</f>
        <v/>
      </c>
      <c r="P356" s="45" t="n"/>
      <c r="Q356" s="45" t="n"/>
      <c r="R356" s="42">
        <f>IF(B356="","",IF(Q356&lt;&gt;"",MIN(Q356,IF(L356="Escalated",B356+Settings!$B$9,WORKDAY(B356,Settings!$B$8))),IF(L356="Escalated",B356+Settings!$B$9,WORKDAY(B356,Settings!$B$8))))</f>
        <v/>
      </c>
      <c r="S356" s="45" t="n"/>
      <c r="T356" s="44" t="n"/>
      <c r="U356" s="46" t="n"/>
      <c r="V356" s="44" t="n"/>
      <c r="W356" s="44" t="n"/>
      <c r="X356" s="44" t="n"/>
      <c r="Y356" s="41">
        <f>IF(B356="","",IF(S356&lt;&gt;"",S356,Settings!$B$4)-B356)</f>
        <v/>
      </c>
      <c r="Z356" s="41">
        <f>IF(B356="","",IF(S356&lt;&gt;"",IF(S356&gt;R356,"Closed late","Closed on time"),IF(Settings!$B$4&gt;R356,"Open: overdue","Open")))</f>
        <v/>
      </c>
      <c r="AA356" s="41">
        <f>IF(B356="","",IF(NETWORKDAYS(B356,C356)-1&gt;Settings!$B$5,"Logged late",IF(AND(L356="Escalated",M356=""),"Escalate to Compliance",IF(AND(L356="Escalated",N356=""),"Notify Sponsor Bank",IF(AND(L356="Escalated",N356&lt;&gt;"",NETWORKDAYS(B356,N356)-1&gt;Settings!$B$10),"Sponsor Bank notified late",IF(AND(K356&lt;&gt;"",K356&lt;&gt;"None",Q356=""),"Enter the legal deadline",IF(AND(S356&lt;&gt;"",OR(T356="",V356="")),"Record outcome and root cause",IF(AND(P356="",S356="",Settings!$B$4&gt;O356),"Acknowledgment overdue",""))))))))</f>
        <v/>
      </c>
    </row>
    <row r="357" ht="15.75" customHeight="1" s="31">
      <c r="A357" s="44" t="n"/>
      <c r="B357" s="45" t="n"/>
      <c r="C357" s="45" t="n"/>
      <c r="D357" s="44" t="n"/>
      <c r="E357" s="44" t="n"/>
      <c r="F357" s="44" t="n"/>
      <c r="G357" s="44" t="n"/>
      <c r="H357" s="44" t="n"/>
      <c r="I357" s="44" t="n"/>
      <c r="J357" s="44" t="n"/>
      <c r="K357" s="44" t="n"/>
      <c r="L357" s="41">
        <f>IF(B357="","",IF(OR(COUNTIF(Settings!$E$4:$E$9,D357)&gt;0,I357="Yes",J357="Yes",K357="Fair lending allegation"),"Escalated","Standard"))</f>
        <v/>
      </c>
      <c r="M357" s="45" t="n"/>
      <c r="N357" s="45" t="n"/>
      <c r="O357" s="42">
        <f>IF(B357="","",WORKDAY(B357,Settings!$B$7))</f>
        <v/>
      </c>
      <c r="P357" s="45" t="n"/>
      <c r="Q357" s="45" t="n"/>
      <c r="R357" s="42">
        <f>IF(B357="","",IF(Q357&lt;&gt;"",MIN(Q357,IF(L357="Escalated",B357+Settings!$B$9,WORKDAY(B357,Settings!$B$8))),IF(L357="Escalated",B357+Settings!$B$9,WORKDAY(B357,Settings!$B$8))))</f>
        <v/>
      </c>
      <c r="S357" s="45" t="n"/>
      <c r="T357" s="44" t="n"/>
      <c r="U357" s="46" t="n"/>
      <c r="V357" s="44" t="n"/>
      <c r="W357" s="44" t="n"/>
      <c r="X357" s="44" t="n"/>
      <c r="Y357" s="41">
        <f>IF(B357="","",IF(S357&lt;&gt;"",S357,Settings!$B$4)-B357)</f>
        <v/>
      </c>
      <c r="Z357" s="41">
        <f>IF(B357="","",IF(S357&lt;&gt;"",IF(S357&gt;R357,"Closed late","Closed on time"),IF(Settings!$B$4&gt;R357,"Open: overdue","Open")))</f>
        <v/>
      </c>
      <c r="AA357" s="41">
        <f>IF(B357="","",IF(NETWORKDAYS(B357,C357)-1&gt;Settings!$B$5,"Logged late",IF(AND(L357="Escalated",M357=""),"Escalate to Compliance",IF(AND(L357="Escalated",N357=""),"Notify Sponsor Bank",IF(AND(L357="Escalated",N357&lt;&gt;"",NETWORKDAYS(B357,N357)-1&gt;Settings!$B$10),"Sponsor Bank notified late",IF(AND(K357&lt;&gt;"",K357&lt;&gt;"None",Q357=""),"Enter the legal deadline",IF(AND(S357&lt;&gt;"",OR(T357="",V357="")),"Record outcome and root cause",IF(AND(P357="",S357="",Settings!$B$4&gt;O357),"Acknowledgment overdue",""))))))))</f>
        <v/>
      </c>
    </row>
    <row r="358" ht="15.75" customHeight="1" s="31">
      <c r="A358" s="44" t="n"/>
      <c r="B358" s="45" t="n"/>
      <c r="C358" s="45" t="n"/>
      <c r="D358" s="44" t="n"/>
      <c r="E358" s="44" t="n"/>
      <c r="F358" s="44" t="n"/>
      <c r="G358" s="44" t="n"/>
      <c r="H358" s="44" t="n"/>
      <c r="I358" s="44" t="n"/>
      <c r="J358" s="44" t="n"/>
      <c r="K358" s="44" t="n"/>
      <c r="L358" s="41">
        <f>IF(B358="","",IF(OR(COUNTIF(Settings!$E$4:$E$9,D358)&gt;0,I358="Yes",J358="Yes",K358="Fair lending allegation"),"Escalated","Standard"))</f>
        <v/>
      </c>
      <c r="M358" s="45" t="n"/>
      <c r="N358" s="45" t="n"/>
      <c r="O358" s="42">
        <f>IF(B358="","",WORKDAY(B358,Settings!$B$7))</f>
        <v/>
      </c>
      <c r="P358" s="45" t="n"/>
      <c r="Q358" s="45" t="n"/>
      <c r="R358" s="42">
        <f>IF(B358="","",IF(Q358&lt;&gt;"",MIN(Q358,IF(L358="Escalated",B358+Settings!$B$9,WORKDAY(B358,Settings!$B$8))),IF(L358="Escalated",B358+Settings!$B$9,WORKDAY(B358,Settings!$B$8))))</f>
        <v/>
      </c>
      <c r="S358" s="45" t="n"/>
      <c r="T358" s="44" t="n"/>
      <c r="U358" s="46" t="n"/>
      <c r="V358" s="44" t="n"/>
      <c r="W358" s="44" t="n"/>
      <c r="X358" s="44" t="n"/>
      <c r="Y358" s="41">
        <f>IF(B358="","",IF(S358&lt;&gt;"",S358,Settings!$B$4)-B358)</f>
        <v/>
      </c>
      <c r="Z358" s="41">
        <f>IF(B358="","",IF(S358&lt;&gt;"",IF(S358&gt;R358,"Closed late","Closed on time"),IF(Settings!$B$4&gt;R358,"Open: overdue","Open")))</f>
        <v/>
      </c>
      <c r="AA358" s="41">
        <f>IF(B358="","",IF(NETWORKDAYS(B358,C358)-1&gt;Settings!$B$5,"Logged late",IF(AND(L358="Escalated",M358=""),"Escalate to Compliance",IF(AND(L358="Escalated",N358=""),"Notify Sponsor Bank",IF(AND(L358="Escalated",N358&lt;&gt;"",NETWORKDAYS(B358,N358)-1&gt;Settings!$B$10),"Sponsor Bank notified late",IF(AND(K358&lt;&gt;"",K358&lt;&gt;"None",Q358=""),"Enter the legal deadline",IF(AND(S358&lt;&gt;"",OR(T358="",V358="")),"Record outcome and root cause",IF(AND(P358="",S358="",Settings!$B$4&gt;O358),"Acknowledgment overdue",""))))))))</f>
        <v/>
      </c>
    </row>
    <row r="359" ht="15.75" customHeight="1" s="31">
      <c r="A359" s="44" t="n"/>
      <c r="B359" s="45" t="n"/>
      <c r="C359" s="45" t="n"/>
      <c r="D359" s="44" t="n"/>
      <c r="E359" s="44" t="n"/>
      <c r="F359" s="44" t="n"/>
      <c r="G359" s="44" t="n"/>
      <c r="H359" s="44" t="n"/>
      <c r="I359" s="44" t="n"/>
      <c r="J359" s="44" t="n"/>
      <c r="K359" s="44" t="n"/>
      <c r="L359" s="41">
        <f>IF(B359="","",IF(OR(COUNTIF(Settings!$E$4:$E$9,D359)&gt;0,I359="Yes",J359="Yes",K359="Fair lending allegation"),"Escalated","Standard"))</f>
        <v/>
      </c>
      <c r="M359" s="45" t="n"/>
      <c r="N359" s="45" t="n"/>
      <c r="O359" s="42">
        <f>IF(B359="","",WORKDAY(B359,Settings!$B$7))</f>
        <v/>
      </c>
      <c r="P359" s="45" t="n"/>
      <c r="Q359" s="45" t="n"/>
      <c r="R359" s="42">
        <f>IF(B359="","",IF(Q359&lt;&gt;"",MIN(Q359,IF(L359="Escalated",B359+Settings!$B$9,WORKDAY(B359,Settings!$B$8))),IF(L359="Escalated",B359+Settings!$B$9,WORKDAY(B359,Settings!$B$8))))</f>
        <v/>
      </c>
      <c r="S359" s="45" t="n"/>
      <c r="T359" s="44" t="n"/>
      <c r="U359" s="46" t="n"/>
      <c r="V359" s="44" t="n"/>
      <c r="W359" s="44" t="n"/>
      <c r="X359" s="44" t="n"/>
      <c r="Y359" s="41">
        <f>IF(B359="","",IF(S359&lt;&gt;"",S359,Settings!$B$4)-B359)</f>
        <v/>
      </c>
      <c r="Z359" s="41">
        <f>IF(B359="","",IF(S359&lt;&gt;"",IF(S359&gt;R359,"Closed late","Closed on time"),IF(Settings!$B$4&gt;R359,"Open: overdue","Open")))</f>
        <v/>
      </c>
      <c r="AA359" s="41">
        <f>IF(B359="","",IF(NETWORKDAYS(B359,C359)-1&gt;Settings!$B$5,"Logged late",IF(AND(L359="Escalated",M359=""),"Escalate to Compliance",IF(AND(L359="Escalated",N359=""),"Notify Sponsor Bank",IF(AND(L359="Escalated",N359&lt;&gt;"",NETWORKDAYS(B359,N359)-1&gt;Settings!$B$10),"Sponsor Bank notified late",IF(AND(K359&lt;&gt;"",K359&lt;&gt;"None",Q359=""),"Enter the legal deadline",IF(AND(S359&lt;&gt;"",OR(T359="",V359="")),"Record outcome and root cause",IF(AND(P359="",S359="",Settings!$B$4&gt;O359),"Acknowledgment overdue",""))))))))</f>
        <v/>
      </c>
    </row>
    <row r="360" ht="15.75" customHeight="1" s="31">
      <c r="A360" s="44" t="n"/>
      <c r="B360" s="45" t="n"/>
      <c r="C360" s="45" t="n"/>
      <c r="D360" s="44" t="n"/>
      <c r="E360" s="44" t="n"/>
      <c r="F360" s="44" t="n"/>
      <c r="G360" s="44" t="n"/>
      <c r="H360" s="44" t="n"/>
      <c r="I360" s="44" t="n"/>
      <c r="J360" s="44" t="n"/>
      <c r="K360" s="44" t="n"/>
      <c r="L360" s="41">
        <f>IF(B360="","",IF(OR(COUNTIF(Settings!$E$4:$E$9,D360)&gt;0,I360="Yes",J360="Yes",K360="Fair lending allegation"),"Escalated","Standard"))</f>
        <v/>
      </c>
      <c r="M360" s="45" t="n"/>
      <c r="N360" s="45" t="n"/>
      <c r="O360" s="42">
        <f>IF(B360="","",WORKDAY(B360,Settings!$B$7))</f>
        <v/>
      </c>
      <c r="P360" s="45" t="n"/>
      <c r="Q360" s="45" t="n"/>
      <c r="R360" s="42">
        <f>IF(B360="","",IF(Q360&lt;&gt;"",MIN(Q360,IF(L360="Escalated",B360+Settings!$B$9,WORKDAY(B360,Settings!$B$8))),IF(L360="Escalated",B360+Settings!$B$9,WORKDAY(B360,Settings!$B$8))))</f>
        <v/>
      </c>
      <c r="S360" s="45" t="n"/>
      <c r="T360" s="44" t="n"/>
      <c r="U360" s="46" t="n"/>
      <c r="V360" s="44" t="n"/>
      <c r="W360" s="44" t="n"/>
      <c r="X360" s="44" t="n"/>
      <c r="Y360" s="41">
        <f>IF(B360="","",IF(S360&lt;&gt;"",S360,Settings!$B$4)-B360)</f>
        <v/>
      </c>
      <c r="Z360" s="41">
        <f>IF(B360="","",IF(S360&lt;&gt;"",IF(S360&gt;R360,"Closed late","Closed on time"),IF(Settings!$B$4&gt;R360,"Open: overdue","Open")))</f>
        <v/>
      </c>
      <c r="AA360" s="41">
        <f>IF(B360="","",IF(NETWORKDAYS(B360,C360)-1&gt;Settings!$B$5,"Logged late",IF(AND(L360="Escalated",M360=""),"Escalate to Compliance",IF(AND(L360="Escalated",N360=""),"Notify Sponsor Bank",IF(AND(L360="Escalated",N360&lt;&gt;"",NETWORKDAYS(B360,N360)-1&gt;Settings!$B$10),"Sponsor Bank notified late",IF(AND(K360&lt;&gt;"",K360&lt;&gt;"None",Q360=""),"Enter the legal deadline",IF(AND(S360&lt;&gt;"",OR(T360="",V360="")),"Record outcome and root cause",IF(AND(P360="",S360="",Settings!$B$4&gt;O360),"Acknowledgment overdue",""))))))))</f>
        <v/>
      </c>
    </row>
    <row r="361" ht="15.75" customHeight="1" s="31">
      <c r="A361" s="44" t="n"/>
      <c r="B361" s="45" t="n"/>
      <c r="C361" s="45" t="n"/>
      <c r="D361" s="44" t="n"/>
      <c r="E361" s="44" t="n"/>
      <c r="F361" s="44" t="n"/>
      <c r="G361" s="44" t="n"/>
      <c r="H361" s="44" t="n"/>
      <c r="I361" s="44" t="n"/>
      <c r="J361" s="44" t="n"/>
      <c r="K361" s="44" t="n"/>
      <c r="L361" s="41">
        <f>IF(B361="","",IF(OR(COUNTIF(Settings!$E$4:$E$9,D361)&gt;0,I361="Yes",J361="Yes",K361="Fair lending allegation"),"Escalated","Standard"))</f>
        <v/>
      </c>
      <c r="M361" s="45" t="n"/>
      <c r="N361" s="45" t="n"/>
      <c r="O361" s="42">
        <f>IF(B361="","",WORKDAY(B361,Settings!$B$7))</f>
        <v/>
      </c>
      <c r="P361" s="45" t="n"/>
      <c r="Q361" s="45" t="n"/>
      <c r="R361" s="42">
        <f>IF(B361="","",IF(Q361&lt;&gt;"",MIN(Q361,IF(L361="Escalated",B361+Settings!$B$9,WORKDAY(B361,Settings!$B$8))),IF(L361="Escalated",B361+Settings!$B$9,WORKDAY(B361,Settings!$B$8))))</f>
        <v/>
      </c>
      <c r="S361" s="45" t="n"/>
      <c r="T361" s="44" t="n"/>
      <c r="U361" s="46" t="n"/>
      <c r="V361" s="44" t="n"/>
      <c r="W361" s="44" t="n"/>
      <c r="X361" s="44" t="n"/>
      <c r="Y361" s="41">
        <f>IF(B361="","",IF(S361&lt;&gt;"",S361,Settings!$B$4)-B361)</f>
        <v/>
      </c>
      <c r="Z361" s="41">
        <f>IF(B361="","",IF(S361&lt;&gt;"",IF(S361&gt;R361,"Closed late","Closed on time"),IF(Settings!$B$4&gt;R361,"Open: overdue","Open")))</f>
        <v/>
      </c>
      <c r="AA361" s="41">
        <f>IF(B361="","",IF(NETWORKDAYS(B361,C361)-1&gt;Settings!$B$5,"Logged late",IF(AND(L361="Escalated",M361=""),"Escalate to Compliance",IF(AND(L361="Escalated",N361=""),"Notify Sponsor Bank",IF(AND(L361="Escalated",N361&lt;&gt;"",NETWORKDAYS(B361,N361)-1&gt;Settings!$B$10),"Sponsor Bank notified late",IF(AND(K361&lt;&gt;"",K361&lt;&gt;"None",Q361=""),"Enter the legal deadline",IF(AND(S361&lt;&gt;"",OR(T361="",V361="")),"Record outcome and root cause",IF(AND(P361="",S361="",Settings!$B$4&gt;O361),"Acknowledgment overdue",""))))))))</f>
        <v/>
      </c>
    </row>
    <row r="362" ht="15.75" customHeight="1" s="31">
      <c r="A362" s="44" t="n"/>
      <c r="B362" s="45" t="n"/>
      <c r="C362" s="45" t="n"/>
      <c r="D362" s="44" t="n"/>
      <c r="E362" s="44" t="n"/>
      <c r="F362" s="44" t="n"/>
      <c r="G362" s="44" t="n"/>
      <c r="H362" s="44" t="n"/>
      <c r="I362" s="44" t="n"/>
      <c r="J362" s="44" t="n"/>
      <c r="K362" s="44" t="n"/>
      <c r="L362" s="41">
        <f>IF(B362="","",IF(OR(COUNTIF(Settings!$E$4:$E$9,D362)&gt;0,I362="Yes",J362="Yes",K362="Fair lending allegation"),"Escalated","Standard"))</f>
        <v/>
      </c>
      <c r="M362" s="45" t="n"/>
      <c r="N362" s="45" t="n"/>
      <c r="O362" s="42">
        <f>IF(B362="","",WORKDAY(B362,Settings!$B$7))</f>
        <v/>
      </c>
      <c r="P362" s="45" t="n"/>
      <c r="Q362" s="45" t="n"/>
      <c r="R362" s="42">
        <f>IF(B362="","",IF(Q362&lt;&gt;"",MIN(Q362,IF(L362="Escalated",B362+Settings!$B$9,WORKDAY(B362,Settings!$B$8))),IF(L362="Escalated",B362+Settings!$B$9,WORKDAY(B362,Settings!$B$8))))</f>
        <v/>
      </c>
      <c r="S362" s="45" t="n"/>
      <c r="T362" s="44" t="n"/>
      <c r="U362" s="46" t="n"/>
      <c r="V362" s="44" t="n"/>
      <c r="W362" s="44" t="n"/>
      <c r="X362" s="44" t="n"/>
      <c r="Y362" s="41">
        <f>IF(B362="","",IF(S362&lt;&gt;"",S362,Settings!$B$4)-B362)</f>
        <v/>
      </c>
      <c r="Z362" s="41">
        <f>IF(B362="","",IF(S362&lt;&gt;"",IF(S362&gt;R362,"Closed late","Closed on time"),IF(Settings!$B$4&gt;R362,"Open: overdue","Open")))</f>
        <v/>
      </c>
      <c r="AA362" s="41">
        <f>IF(B362="","",IF(NETWORKDAYS(B362,C362)-1&gt;Settings!$B$5,"Logged late",IF(AND(L362="Escalated",M362=""),"Escalate to Compliance",IF(AND(L362="Escalated",N362=""),"Notify Sponsor Bank",IF(AND(L362="Escalated",N362&lt;&gt;"",NETWORKDAYS(B362,N362)-1&gt;Settings!$B$10),"Sponsor Bank notified late",IF(AND(K362&lt;&gt;"",K362&lt;&gt;"None",Q362=""),"Enter the legal deadline",IF(AND(S362&lt;&gt;"",OR(T362="",V362="")),"Record outcome and root cause",IF(AND(P362="",S362="",Settings!$B$4&gt;O362),"Acknowledgment overdue",""))))))))</f>
        <v/>
      </c>
    </row>
    <row r="363" ht="15.75" customHeight="1" s="31">
      <c r="A363" s="44" t="n"/>
      <c r="B363" s="45" t="n"/>
      <c r="C363" s="45" t="n"/>
      <c r="D363" s="44" t="n"/>
      <c r="E363" s="44" t="n"/>
      <c r="F363" s="44" t="n"/>
      <c r="G363" s="44" t="n"/>
      <c r="H363" s="44" t="n"/>
      <c r="I363" s="44" t="n"/>
      <c r="J363" s="44" t="n"/>
      <c r="K363" s="44" t="n"/>
      <c r="L363" s="41">
        <f>IF(B363="","",IF(OR(COUNTIF(Settings!$E$4:$E$9,D363)&gt;0,I363="Yes",J363="Yes",K363="Fair lending allegation"),"Escalated","Standard"))</f>
        <v/>
      </c>
      <c r="M363" s="45" t="n"/>
      <c r="N363" s="45" t="n"/>
      <c r="O363" s="42">
        <f>IF(B363="","",WORKDAY(B363,Settings!$B$7))</f>
        <v/>
      </c>
      <c r="P363" s="45" t="n"/>
      <c r="Q363" s="45" t="n"/>
      <c r="R363" s="42">
        <f>IF(B363="","",IF(Q363&lt;&gt;"",MIN(Q363,IF(L363="Escalated",B363+Settings!$B$9,WORKDAY(B363,Settings!$B$8))),IF(L363="Escalated",B363+Settings!$B$9,WORKDAY(B363,Settings!$B$8))))</f>
        <v/>
      </c>
      <c r="S363" s="45" t="n"/>
      <c r="T363" s="44" t="n"/>
      <c r="U363" s="46" t="n"/>
      <c r="V363" s="44" t="n"/>
      <c r="W363" s="44" t="n"/>
      <c r="X363" s="44" t="n"/>
      <c r="Y363" s="41">
        <f>IF(B363="","",IF(S363&lt;&gt;"",S363,Settings!$B$4)-B363)</f>
        <v/>
      </c>
      <c r="Z363" s="41">
        <f>IF(B363="","",IF(S363&lt;&gt;"",IF(S363&gt;R363,"Closed late","Closed on time"),IF(Settings!$B$4&gt;R363,"Open: overdue","Open")))</f>
        <v/>
      </c>
      <c r="AA363" s="41">
        <f>IF(B363="","",IF(NETWORKDAYS(B363,C363)-1&gt;Settings!$B$5,"Logged late",IF(AND(L363="Escalated",M363=""),"Escalate to Compliance",IF(AND(L363="Escalated",N363=""),"Notify Sponsor Bank",IF(AND(L363="Escalated",N363&lt;&gt;"",NETWORKDAYS(B363,N363)-1&gt;Settings!$B$10),"Sponsor Bank notified late",IF(AND(K363&lt;&gt;"",K363&lt;&gt;"None",Q363=""),"Enter the legal deadline",IF(AND(S363&lt;&gt;"",OR(T363="",V363="")),"Record outcome and root cause",IF(AND(P363="",S363="",Settings!$B$4&gt;O363),"Acknowledgment overdue",""))))))))</f>
        <v/>
      </c>
    </row>
    <row r="364" ht="15.75" customHeight="1" s="31">
      <c r="A364" s="44" t="n"/>
      <c r="B364" s="45" t="n"/>
      <c r="C364" s="45" t="n"/>
      <c r="D364" s="44" t="n"/>
      <c r="E364" s="44" t="n"/>
      <c r="F364" s="44" t="n"/>
      <c r="G364" s="44" t="n"/>
      <c r="H364" s="44" t="n"/>
      <c r="I364" s="44" t="n"/>
      <c r="J364" s="44" t="n"/>
      <c r="K364" s="44" t="n"/>
      <c r="L364" s="41">
        <f>IF(B364="","",IF(OR(COUNTIF(Settings!$E$4:$E$9,D364)&gt;0,I364="Yes",J364="Yes",K364="Fair lending allegation"),"Escalated","Standard"))</f>
        <v/>
      </c>
      <c r="M364" s="45" t="n"/>
      <c r="N364" s="45" t="n"/>
      <c r="O364" s="42">
        <f>IF(B364="","",WORKDAY(B364,Settings!$B$7))</f>
        <v/>
      </c>
      <c r="P364" s="45" t="n"/>
      <c r="Q364" s="45" t="n"/>
      <c r="R364" s="42">
        <f>IF(B364="","",IF(Q364&lt;&gt;"",MIN(Q364,IF(L364="Escalated",B364+Settings!$B$9,WORKDAY(B364,Settings!$B$8))),IF(L364="Escalated",B364+Settings!$B$9,WORKDAY(B364,Settings!$B$8))))</f>
        <v/>
      </c>
      <c r="S364" s="45" t="n"/>
      <c r="T364" s="44" t="n"/>
      <c r="U364" s="46" t="n"/>
      <c r="V364" s="44" t="n"/>
      <c r="W364" s="44" t="n"/>
      <c r="X364" s="44" t="n"/>
      <c r="Y364" s="41">
        <f>IF(B364="","",IF(S364&lt;&gt;"",S364,Settings!$B$4)-B364)</f>
        <v/>
      </c>
      <c r="Z364" s="41">
        <f>IF(B364="","",IF(S364&lt;&gt;"",IF(S364&gt;R364,"Closed late","Closed on time"),IF(Settings!$B$4&gt;R364,"Open: overdue","Open")))</f>
        <v/>
      </c>
      <c r="AA364" s="41">
        <f>IF(B364="","",IF(NETWORKDAYS(B364,C364)-1&gt;Settings!$B$5,"Logged late",IF(AND(L364="Escalated",M364=""),"Escalate to Compliance",IF(AND(L364="Escalated",N364=""),"Notify Sponsor Bank",IF(AND(L364="Escalated",N364&lt;&gt;"",NETWORKDAYS(B364,N364)-1&gt;Settings!$B$10),"Sponsor Bank notified late",IF(AND(K364&lt;&gt;"",K364&lt;&gt;"None",Q364=""),"Enter the legal deadline",IF(AND(S364&lt;&gt;"",OR(T364="",V364="")),"Record outcome and root cause",IF(AND(P364="",S364="",Settings!$B$4&gt;O364),"Acknowledgment overdue",""))))))))</f>
        <v/>
      </c>
    </row>
    <row r="365" ht="15.75" customHeight="1" s="31">
      <c r="A365" s="44" t="n"/>
      <c r="B365" s="45" t="n"/>
      <c r="C365" s="45" t="n"/>
      <c r="D365" s="44" t="n"/>
      <c r="E365" s="44" t="n"/>
      <c r="F365" s="44" t="n"/>
      <c r="G365" s="44" t="n"/>
      <c r="H365" s="44" t="n"/>
      <c r="I365" s="44" t="n"/>
      <c r="J365" s="44" t="n"/>
      <c r="K365" s="44" t="n"/>
      <c r="L365" s="41">
        <f>IF(B365="","",IF(OR(COUNTIF(Settings!$E$4:$E$9,D365)&gt;0,I365="Yes",J365="Yes",K365="Fair lending allegation"),"Escalated","Standard"))</f>
        <v/>
      </c>
      <c r="M365" s="45" t="n"/>
      <c r="N365" s="45" t="n"/>
      <c r="O365" s="42">
        <f>IF(B365="","",WORKDAY(B365,Settings!$B$7))</f>
        <v/>
      </c>
      <c r="P365" s="45" t="n"/>
      <c r="Q365" s="45" t="n"/>
      <c r="R365" s="42">
        <f>IF(B365="","",IF(Q365&lt;&gt;"",MIN(Q365,IF(L365="Escalated",B365+Settings!$B$9,WORKDAY(B365,Settings!$B$8))),IF(L365="Escalated",B365+Settings!$B$9,WORKDAY(B365,Settings!$B$8))))</f>
        <v/>
      </c>
      <c r="S365" s="45" t="n"/>
      <c r="T365" s="44" t="n"/>
      <c r="U365" s="46" t="n"/>
      <c r="V365" s="44" t="n"/>
      <c r="W365" s="44" t="n"/>
      <c r="X365" s="44" t="n"/>
      <c r="Y365" s="41">
        <f>IF(B365="","",IF(S365&lt;&gt;"",S365,Settings!$B$4)-B365)</f>
        <v/>
      </c>
      <c r="Z365" s="41">
        <f>IF(B365="","",IF(S365&lt;&gt;"",IF(S365&gt;R365,"Closed late","Closed on time"),IF(Settings!$B$4&gt;R365,"Open: overdue","Open")))</f>
        <v/>
      </c>
      <c r="AA365" s="41">
        <f>IF(B365="","",IF(NETWORKDAYS(B365,C365)-1&gt;Settings!$B$5,"Logged late",IF(AND(L365="Escalated",M365=""),"Escalate to Compliance",IF(AND(L365="Escalated",N365=""),"Notify Sponsor Bank",IF(AND(L365="Escalated",N365&lt;&gt;"",NETWORKDAYS(B365,N365)-1&gt;Settings!$B$10),"Sponsor Bank notified late",IF(AND(K365&lt;&gt;"",K365&lt;&gt;"None",Q365=""),"Enter the legal deadline",IF(AND(S365&lt;&gt;"",OR(T365="",V365="")),"Record outcome and root cause",IF(AND(P365="",S365="",Settings!$B$4&gt;O365),"Acknowledgment overdue",""))))))))</f>
        <v/>
      </c>
    </row>
    <row r="366" ht="15.75" customHeight="1" s="31">
      <c r="A366" s="44" t="n"/>
      <c r="B366" s="45" t="n"/>
      <c r="C366" s="45" t="n"/>
      <c r="D366" s="44" t="n"/>
      <c r="E366" s="44" t="n"/>
      <c r="F366" s="44" t="n"/>
      <c r="G366" s="44" t="n"/>
      <c r="H366" s="44" t="n"/>
      <c r="I366" s="44" t="n"/>
      <c r="J366" s="44" t="n"/>
      <c r="K366" s="44" t="n"/>
      <c r="L366" s="41">
        <f>IF(B366="","",IF(OR(COUNTIF(Settings!$E$4:$E$9,D366)&gt;0,I366="Yes",J366="Yes",K366="Fair lending allegation"),"Escalated","Standard"))</f>
        <v/>
      </c>
      <c r="M366" s="45" t="n"/>
      <c r="N366" s="45" t="n"/>
      <c r="O366" s="42">
        <f>IF(B366="","",WORKDAY(B366,Settings!$B$7))</f>
        <v/>
      </c>
      <c r="P366" s="45" t="n"/>
      <c r="Q366" s="45" t="n"/>
      <c r="R366" s="42">
        <f>IF(B366="","",IF(Q366&lt;&gt;"",MIN(Q366,IF(L366="Escalated",B366+Settings!$B$9,WORKDAY(B366,Settings!$B$8))),IF(L366="Escalated",B366+Settings!$B$9,WORKDAY(B366,Settings!$B$8))))</f>
        <v/>
      </c>
      <c r="S366" s="45" t="n"/>
      <c r="T366" s="44" t="n"/>
      <c r="U366" s="46" t="n"/>
      <c r="V366" s="44" t="n"/>
      <c r="W366" s="44" t="n"/>
      <c r="X366" s="44" t="n"/>
      <c r="Y366" s="41">
        <f>IF(B366="","",IF(S366&lt;&gt;"",S366,Settings!$B$4)-B366)</f>
        <v/>
      </c>
      <c r="Z366" s="41">
        <f>IF(B366="","",IF(S366&lt;&gt;"",IF(S366&gt;R366,"Closed late","Closed on time"),IF(Settings!$B$4&gt;R366,"Open: overdue","Open")))</f>
        <v/>
      </c>
      <c r="AA366" s="41">
        <f>IF(B366="","",IF(NETWORKDAYS(B366,C366)-1&gt;Settings!$B$5,"Logged late",IF(AND(L366="Escalated",M366=""),"Escalate to Compliance",IF(AND(L366="Escalated",N366=""),"Notify Sponsor Bank",IF(AND(L366="Escalated",N366&lt;&gt;"",NETWORKDAYS(B366,N366)-1&gt;Settings!$B$10),"Sponsor Bank notified late",IF(AND(K366&lt;&gt;"",K366&lt;&gt;"None",Q366=""),"Enter the legal deadline",IF(AND(S366&lt;&gt;"",OR(T366="",V366="")),"Record outcome and root cause",IF(AND(P366="",S366="",Settings!$B$4&gt;O366),"Acknowledgment overdue",""))))))))</f>
        <v/>
      </c>
    </row>
    <row r="367" ht="15.75" customHeight="1" s="31">
      <c r="A367" s="44" t="n"/>
      <c r="B367" s="45" t="n"/>
      <c r="C367" s="45" t="n"/>
      <c r="D367" s="44" t="n"/>
      <c r="E367" s="44" t="n"/>
      <c r="F367" s="44" t="n"/>
      <c r="G367" s="44" t="n"/>
      <c r="H367" s="44" t="n"/>
      <c r="I367" s="44" t="n"/>
      <c r="J367" s="44" t="n"/>
      <c r="K367" s="44" t="n"/>
      <c r="L367" s="41">
        <f>IF(B367="","",IF(OR(COUNTIF(Settings!$E$4:$E$9,D367)&gt;0,I367="Yes",J367="Yes",K367="Fair lending allegation"),"Escalated","Standard"))</f>
        <v/>
      </c>
      <c r="M367" s="45" t="n"/>
      <c r="N367" s="45" t="n"/>
      <c r="O367" s="42">
        <f>IF(B367="","",WORKDAY(B367,Settings!$B$7))</f>
        <v/>
      </c>
      <c r="P367" s="45" t="n"/>
      <c r="Q367" s="45" t="n"/>
      <c r="R367" s="42">
        <f>IF(B367="","",IF(Q367&lt;&gt;"",MIN(Q367,IF(L367="Escalated",B367+Settings!$B$9,WORKDAY(B367,Settings!$B$8))),IF(L367="Escalated",B367+Settings!$B$9,WORKDAY(B367,Settings!$B$8))))</f>
        <v/>
      </c>
      <c r="S367" s="45" t="n"/>
      <c r="T367" s="44" t="n"/>
      <c r="U367" s="46" t="n"/>
      <c r="V367" s="44" t="n"/>
      <c r="W367" s="44" t="n"/>
      <c r="X367" s="44" t="n"/>
      <c r="Y367" s="41">
        <f>IF(B367="","",IF(S367&lt;&gt;"",S367,Settings!$B$4)-B367)</f>
        <v/>
      </c>
      <c r="Z367" s="41">
        <f>IF(B367="","",IF(S367&lt;&gt;"",IF(S367&gt;R367,"Closed late","Closed on time"),IF(Settings!$B$4&gt;R367,"Open: overdue","Open")))</f>
        <v/>
      </c>
      <c r="AA367" s="41">
        <f>IF(B367="","",IF(NETWORKDAYS(B367,C367)-1&gt;Settings!$B$5,"Logged late",IF(AND(L367="Escalated",M367=""),"Escalate to Compliance",IF(AND(L367="Escalated",N367=""),"Notify Sponsor Bank",IF(AND(L367="Escalated",N367&lt;&gt;"",NETWORKDAYS(B367,N367)-1&gt;Settings!$B$10),"Sponsor Bank notified late",IF(AND(K367&lt;&gt;"",K367&lt;&gt;"None",Q367=""),"Enter the legal deadline",IF(AND(S367&lt;&gt;"",OR(T367="",V367="")),"Record outcome and root cause",IF(AND(P367="",S367="",Settings!$B$4&gt;O367),"Acknowledgment overdue",""))))))))</f>
        <v/>
      </c>
    </row>
    <row r="368" ht="15.75" customHeight="1" s="31">
      <c r="A368" s="44" t="n"/>
      <c r="B368" s="45" t="n"/>
      <c r="C368" s="45" t="n"/>
      <c r="D368" s="44" t="n"/>
      <c r="E368" s="44" t="n"/>
      <c r="F368" s="44" t="n"/>
      <c r="G368" s="44" t="n"/>
      <c r="H368" s="44" t="n"/>
      <c r="I368" s="44" t="n"/>
      <c r="J368" s="44" t="n"/>
      <c r="K368" s="44" t="n"/>
      <c r="L368" s="41">
        <f>IF(B368="","",IF(OR(COUNTIF(Settings!$E$4:$E$9,D368)&gt;0,I368="Yes",J368="Yes",K368="Fair lending allegation"),"Escalated","Standard"))</f>
        <v/>
      </c>
      <c r="M368" s="45" t="n"/>
      <c r="N368" s="45" t="n"/>
      <c r="O368" s="42">
        <f>IF(B368="","",WORKDAY(B368,Settings!$B$7))</f>
        <v/>
      </c>
      <c r="P368" s="45" t="n"/>
      <c r="Q368" s="45" t="n"/>
      <c r="R368" s="42">
        <f>IF(B368="","",IF(Q368&lt;&gt;"",MIN(Q368,IF(L368="Escalated",B368+Settings!$B$9,WORKDAY(B368,Settings!$B$8))),IF(L368="Escalated",B368+Settings!$B$9,WORKDAY(B368,Settings!$B$8))))</f>
        <v/>
      </c>
      <c r="S368" s="45" t="n"/>
      <c r="T368" s="44" t="n"/>
      <c r="U368" s="46" t="n"/>
      <c r="V368" s="44" t="n"/>
      <c r="W368" s="44" t="n"/>
      <c r="X368" s="44" t="n"/>
      <c r="Y368" s="41">
        <f>IF(B368="","",IF(S368&lt;&gt;"",S368,Settings!$B$4)-B368)</f>
        <v/>
      </c>
      <c r="Z368" s="41">
        <f>IF(B368="","",IF(S368&lt;&gt;"",IF(S368&gt;R368,"Closed late","Closed on time"),IF(Settings!$B$4&gt;R368,"Open: overdue","Open")))</f>
        <v/>
      </c>
      <c r="AA368" s="41">
        <f>IF(B368="","",IF(NETWORKDAYS(B368,C368)-1&gt;Settings!$B$5,"Logged late",IF(AND(L368="Escalated",M368=""),"Escalate to Compliance",IF(AND(L368="Escalated",N368=""),"Notify Sponsor Bank",IF(AND(L368="Escalated",N368&lt;&gt;"",NETWORKDAYS(B368,N368)-1&gt;Settings!$B$10),"Sponsor Bank notified late",IF(AND(K368&lt;&gt;"",K368&lt;&gt;"None",Q368=""),"Enter the legal deadline",IF(AND(S368&lt;&gt;"",OR(T368="",V368="")),"Record outcome and root cause",IF(AND(P368="",S368="",Settings!$B$4&gt;O368),"Acknowledgment overdue",""))))))))</f>
        <v/>
      </c>
    </row>
    <row r="369" ht="15.75" customHeight="1" s="31">
      <c r="A369" s="44" t="n"/>
      <c r="B369" s="45" t="n"/>
      <c r="C369" s="45" t="n"/>
      <c r="D369" s="44" t="n"/>
      <c r="E369" s="44" t="n"/>
      <c r="F369" s="44" t="n"/>
      <c r="G369" s="44" t="n"/>
      <c r="H369" s="44" t="n"/>
      <c r="I369" s="44" t="n"/>
      <c r="J369" s="44" t="n"/>
      <c r="K369" s="44" t="n"/>
      <c r="L369" s="41">
        <f>IF(B369="","",IF(OR(COUNTIF(Settings!$E$4:$E$9,D369)&gt;0,I369="Yes",J369="Yes",K369="Fair lending allegation"),"Escalated","Standard"))</f>
        <v/>
      </c>
      <c r="M369" s="45" t="n"/>
      <c r="N369" s="45" t="n"/>
      <c r="O369" s="42">
        <f>IF(B369="","",WORKDAY(B369,Settings!$B$7))</f>
        <v/>
      </c>
      <c r="P369" s="45" t="n"/>
      <c r="Q369" s="45" t="n"/>
      <c r="R369" s="42">
        <f>IF(B369="","",IF(Q369&lt;&gt;"",MIN(Q369,IF(L369="Escalated",B369+Settings!$B$9,WORKDAY(B369,Settings!$B$8))),IF(L369="Escalated",B369+Settings!$B$9,WORKDAY(B369,Settings!$B$8))))</f>
        <v/>
      </c>
      <c r="S369" s="45" t="n"/>
      <c r="T369" s="44" t="n"/>
      <c r="U369" s="46" t="n"/>
      <c r="V369" s="44" t="n"/>
      <c r="W369" s="44" t="n"/>
      <c r="X369" s="44" t="n"/>
      <c r="Y369" s="41">
        <f>IF(B369="","",IF(S369&lt;&gt;"",S369,Settings!$B$4)-B369)</f>
        <v/>
      </c>
      <c r="Z369" s="41">
        <f>IF(B369="","",IF(S369&lt;&gt;"",IF(S369&gt;R369,"Closed late","Closed on time"),IF(Settings!$B$4&gt;R369,"Open: overdue","Open")))</f>
        <v/>
      </c>
      <c r="AA369" s="41">
        <f>IF(B369="","",IF(NETWORKDAYS(B369,C369)-1&gt;Settings!$B$5,"Logged late",IF(AND(L369="Escalated",M369=""),"Escalate to Compliance",IF(AND(L369="Escalated",N369=""),"Notify Sponsor Bank",IF(AND(L369="Escalated",N369&lt;&gt;"",NETWORKDAYS(B369,N369)-1&gt;Settings!$B$10),"Sponsor Bank notified late",IF(AND(K369&lt;&gt;"",K369&lt;&gt;"None",Q369=""),"Enter the legal deadline",IF(AND(S369&lt;&gt;"",OR(T369="",V369="")),"Record outcome and root cause",IF(AND(P369="",S369="",Settings!$B$4&gt;O369),"Acknowledgment overdue",""))))))))</f>
        <v/>
      </c>
    </row>
    <row r="370" ht="15.75" customHeight="1" s="31">
      <c r="A370" s="44" t="n"/>
      <c r="B370" s="45" t="n"/>
      <c r="C370" s="45" t="n"/>
      <c r="D370" s="44" t="n"/>
      <c r="E370" s="44" t="n"/>
      <c r="F370" s="44" t="n"/>
      <c r="G370" s="44" t="n"/>
      <c r="H370" s="44" t="n"/>
      <c r="I370" s="44" t="n"/>
      <c r="J370" s="44" t="n"/>
      <c r="K370" s="44" t="n"/>
      <c r="L370" s="41">
        <f>IF(B370="","",IF(OR(COUNTIF(Settings!$E$4:$E$9,D370)&gt;0,I370="Yes",J370="Yes",K370="Fair lending allegation"),"Escalated","Standard"))</f>
        <v/>
      </c>
      <c r="M370" s="45" t="n"/>
      <c r="N370" s="45" t="n"/>
      <c r="O370" s="42">
        <f>IF(B370="","",WORKDAY(B370,Settings!$B$7))</f>
        <v/>
      </c>
      <c r="P370" s="45" t="n"/>
      <c r="Q370" s="45" t="n"/>
      <c r="R370" s="42">
        <f>IF(B370="","",IF(Q370&lt;&gt;"",MIN(Q370,IF(L370="Escalated",B370+Settings!$B$9,WORKDAY(B370,Settings!$B$8))),IF(L370="Escalated",B370+Settings!$B$9,WORKDAY(B370,Settings!$B$8))))</f>
        <v/>
      </c>
      <c r="S370" s="45" t="n"/>
      <c r="T370" s="44" t="n"/>
      <c r="U370" s="46" t="n"/>
      <c r="V370" s="44" t="n"/>
      <c r="W370" s="44" t="n"/>
      <c r="X370" s="44" t="n"/>
      <c r="Y370" s="41">
        <f>IF(B370="","",IF(S370&lt;&gt;"",S370,Settings!$B$4)-B370)</f>
        <v/>
      </c>
      <c r="Z370" s="41">
        <f>IF(B370="","",IF(S370&lt;&gt;"",IF(S370&gt;R370,"Closed late","Closed on time"),IF(Settings!$B$4&gt;R370,"Open: overdue","Open")))</f>
        <v/>
      </c>
      <c r="AA370" s="41">
        <f>IF(B370="","",IF(NETWORKDAYS(B370,C370)-1&gt;Settings!$B$5,"Logged late",IF(AND(L370="Escalated",M370=""),"Escalate to Compliance",IF(AND(L370="Escalated",N370=""),"Notify Sponsor Bank",IF(AND(L370="Escalated",N370&lt;&gt;"",NETWORKDAYS(B370,N370)-1&gt;Settings!$B$10),"Sponsor Bank notified late",IF(AND(K370&lt;&gt;"",K370&lt;&gt;"None",Q370=""),"Enter the legal deadline",IF(AND(S370&lt;&gt;"",OR(T370="",V370="")),"Record outcome and root cause",IF(AND(P370="",S370="",Settings!$B$4&gt;O370),"Acknowledgment overdue",""))))))))</f>
        <v/>
      </c>
    </row>
    <row r="371" ht="15.75" customHeight="1" s="31">
      <c r="A371" s="44" t="n"/>
      <c r="B371" s="45" t="n"/>
      <c r="C371" s="45" t="n"/>
      <c r="D371" s="44" t="n"/>
      <c r="E371" s="44" t="n"/>
      <c r="F371" s="44" t="n"/>
      <c r="G371" s="44" t="n"/>
      <c r="H371" s="44" t="n"/>
      <c r="I371" s="44" t="n"/>
      <c r="J371" s="44" t="n"/>
      <c r="K371" s="44" t="n"/>
      <c r="L371" s="41">
        <f>IF(B371="","",IF(OR(COUNTIF(Settings!$E$4:$E$9,D371)&gt;0,I371="Yes",J371="Yes",K371="Fair lending allegation"),"Escalated","Standard"))</f>
        <v/>
      </c>
      <c r="M371" s="45" t="n"/>
      <c r="N371" s="45" t="n"/>
      <c r="O371" s="42">
        <f>IF(B371="","",WORKDAY(B371,Settings!$B$7))</f>
        <v/>
      </c>
      <c r="P371" s="45" t="n"/>
      <c r="Q371" s="45" t="n"/>
      <c r="R371" s="42">
        <f>IF(B371="","",IF(Q371&lt;&gt;"",MIN(Q371,IF(L371="Escalated",B371+Settings!$B$9,WORKDAY(B371,Settings!$B$8))),IF(L371="Escalated",B371+Settings!$B$9,WORKDAY(B371,Settings!$B$8))))</f>
        <v/>
      </c>
      <c r="S371" s="45" t="n"/>
      <c r="T371" s="44" t="n"/>
      <c r="U371" s="46" t="n"/>
      <c r="V371" s="44" t="n"/>
      <c r="W371" s="44" t="n"/>
      <c r="X371" s="44" t="n"/>
      <c r="Y371" s="41">
        <f>IF(B371="","",IF(S371&lt;&gt;"",S371,Settings!$B$4)-B371)</f>
        <v/>
      </c>
      <c r="Z371" s="41">
        <f>IF(B371="","",IF(S371&lt;&gt;"",IF(S371&gt;R371,"Closed late","Closed on time"),IF(Settings!$B$4&gt;R371,"Open: overdue","Open")))</f>
        <v/>
      </c>
      <c r="AA371" s="41">
        <f>IF(B371="","",IF(NETWORKDAYS(B371,C371)-1&gt;Settings!$B$5,"Logged late",IF(AND(L371="Escalated",M371=""),"Escalate to Compliance",IF(AND(L371="Escalated",N371=""),"Notify Sponsor Bank",IF(AND(L371="Escalated",N371&lt;&gt;"",NETWORKDAYS(B371,N371)-1&gt;Settings!$B$10),"Sponsor Bank notified late",IF(AND(K371&lt;&gt;"",K371&lt;&gt;"None",Q371=""),"Enter the legal deadline",IF(AND(S371&lt;&gt;"",OR(T371="",V371="")),"Record outcome and root cause",IF(AND(P371="",S371="",Settings!$B$4&gt;O371),"Acknowledgment overdue",""))))))))</f>
        <v/>
      </c>
    </row>
    <row r="372" ht="15.75" customHeight="1" s="31">
      <c r="A372" s="44" t="n"/>
      <c r="B372" s="45" t="n"/>
      <c r="C372" s="45" t="n"/>
      <c r="D372" s="44" t="n"/>
      <c r="E372" s="44" t="n"/>
      <c r="F372" s="44" t="n"/>
      <c r="G372" s="44" t="n"/>
      <c r="H372" s="44" t="n"/>
      <c r="I372" s="44" t="n"/>
      <c r="J372" s="44" t="n"/>
      <c r="K372" s="44" t="n"/>
      <c r="L372" s="41">
        <f>IF(B372="","",IF(OR(COUNTIF(Settings!$E$4:$E$9,D372)&gt;0,I372="Yes",J372="Yes",K372="Fair lending allegation"),"Escalated","Standard"))</f>
        <v/>
      </c>
      <c r="M372" s="45" t="n"/>
      <c r="N372" s="45" t="n"/>
      <c r="O372" s="42">
        <f>IF(B372="","",WORKDAY(B372,Settings!$B$7))</f>
        <v/>
      </c>
      <c r="P372" s="45" t="n"/>
      <c r="Q372" s="45" t="n"/>
      <c r="R372" s="42">
        <f>IF(B372="","",IF(Q372&lt;&gt;"",MIN(Q372,IF(L372="Escalated",B372+Settings!$B$9,WORKDAY(B372,Settings!$B$8))),IF(L372="Escalated",B372+Settings!$B$9,WORKDAY(B372,Settings!$B$8))))</f>
        <v/>
      </c>
      <c r="S372" s="45" t="n"/>
      <c r="T372" s="44" t="n"/>
      <c r="U372" s="46" t="n"/>
      <c r="V372" s="44" t="n"/>
      <c r="W372" s="44" t="n"/>
      <c r="X372" s="44" t="n"/>
      <c r="Y372" s="41">
        <f>IF(B372="","",IF(S372&lt;&gt;"",S372,Settings!$B$4)-B372)</f>
        <v/>
      </c>
      <c r="Z372" s="41">
        <f>IF(B372="","",IF(S372&lt;&gt;"",IF(S372&gt;R372,"Closed late","Closed on time"),IF(Settings!$B$4&gt;R372,"Open: overdue","Open")))</f>
        <v/>
      </c>
      <c r="AA372" s="41">
        <f>IF(B372="","",IF(NETWORKDAYS(B372,C372)-1&gt;Settings!$B$5,"Logged late",IF(AND(L372="Escalated",M372=""),"Escalate to Compliance",IF(AND(L372="Escalated",N372=""),"Notify Sponsor Bank",IF(AND(L372="Escalated",N372&lt;&gt;"",NETWORKDAYS(B372,N372)-1&gt;Settings!$B$10),"Sponsor Bank notified late",IF(AND(K372&lt;&gt;"",K372&lt;&gt;"None",Q372=""),"Enter the legal deadline",IF(AND(S372&lt;&gt;"",OR(T372="",V372="")),"Record outcome and root cause",IF(AND(P372="",S372="",Settings!$B$4&gt;O372),"Acknowledgment overdue",""))))))))</f>
        <v/>
      </c>
    </row>
    <row r="373" ht="15.75" customHeight="1" s="31">
      <c r="A373" s="44" t="n"/>
      <c r="B373" s="45" t="n"/>
      <c r="C373" s="45" t="n"/>
      <c r="D373" s="44" t="n"/>
      <c r="E373" s="44" t="n"/>
      <c r="F373" s="44" t="n"/>
      <c r="G373" s="44" t="n"/>
      <c r="H373" s="44" t="n"/>
      <c r="I373" s="44" t="n"/>
      <c r="J373" s="44" t="n"/>
      <c r="K373" s="44" t="n"/>
      <c r="L373" s="41">
        <f>IF(B373="","",IF(OR(COUNTIF(Settings!$E$4:$E$9,D373)&gt;0,I373="Yes",J373="Yes",K373="Fair lending allegation"),"Escalated","Standard"))</f>
        <v/>
      </c>
      <c r="M373" s="45" t="n"/>
      <c r="N373" s="45" t="n"/>
      <c r="O373" s="42">
        <f>IF(B373="","",WORKDAY(B373,Settings!$B$7))</f>
        <v/>
      </c>
      <c r="P373" s="45" t="n"/>
      <c r="Q373" s="45" t="n"/>
      <c r="R373" s="42">
        <f>IF(B373="","",IF(Q373&lt;&gt;"",MIN(Q373,IF(L373="Escalated",B373+Settings!$B$9,WORKDAY(B373,Settings!$B$8))),IF(L373="Escalated",B373+Settings!$B$9,WORKDAY(B373,Settings!$B$8))))</f>
        <v/>
      </c>
      <c r="S373" s="45" t="n"/>
      <c r="T373" s="44" t="n"/>
      <c r="U373" s="46" t="n"/>
      <c r="V373" s="44" t="n"/>
      <c r="W373" s="44" t="n"/>
      <c r="X373" s="44" t="n"/>
      <c r="Y373" s="41">
        <f>IF(B373="","",IF(S373&lt;&gt;"",S373,Settings!$B$4)-B373)</f>
        <v/>
      </c>
      <c r="Z373" s="41">
        <f>IF(B373="","",IF(S373&lt;&gt;"",IF(S373&gt;R373,"Closed late","Closed on time"),IF(Settings!$B$4&gt;R373,"Open: overdue","Open")))</f>
        <v/>
      </c>
      <c r="AA373" s="41">
        <f>IF(B373="","",IF(NETWORKDAYS(B373,C373)-1&gt;Settings!$B$5,"Logged late",IF(AND(L373="Escalated",M373=""),"Escalate to Compliance",IF(AND(L373="Escalated",N373=""),"Notify Sponsor Bank",IF(AND(L373="Escalated",N373&lt;&gt;"",NETWORKDAYS(B373,N373)-1&gt;Settings!$B$10),"Sponsor Bank notified late",IF(AND(K373&lt;&gt;"",K373&lt;&gt;"None",Q373=""),"Enter the legal deadline",IF(AND(S373&lt;&gt;"",OR(T373="",V373="")),"Record outcome and root cause",IF(AND(P373="",S373="",Settings!$B$4&gt;O373),"Acknowledgment overdue",""))))))))</f>
        <v/>
      </c>
    </row>
    <row r="374" ht="15.75" customHeight="1" s="31">
      <c r="A374" s="44" t="n"/>
      <c r="B374" s="45" t="n"/>
      <c r="C374" s="45" t="n"/>
      <c r="D374" s="44" t="n"/>
      <c r="E374" s="44" t="n"/>
      <c r="F374" s="44" t="n"/>
      <c r="G374" s="44" t="n"/>
      <c r="H374" s="44" t="n"/>
      <c r="I374" s="44" t="n"/>
      <c r="J374" s="44" t="n"/>
      <c r="K374" s="44" t="n"/>
      <c r="L374" s="41">
        <f>IF(B374="","",IF(OR(COUNTIF(Settings!$E$4:$E$9,D374)&gt;0,I374="Yes",J374="Yes",K374="Fair lending allegation"),"Escalated","Standard"))</f>
        <v/>
      </c>
      <c r="M374" s="45" t="n"/>
      <c r="N374" s="45" t="n"/>
      <c r="O374" s="42">
        <f>IF(B374="","",WORKDAY(B374,Settings!$B$7))</f>
        <v/>
      </c>
      <c r="P374" s="45" t="n"/>
      <c r="Q374" s="45" t="n"/>
      <c r="R374" s="42">
        <f>IF(B374="","",IF(Q374&lt;&gt;"",MIN(Q374,IF(L374="Escalated",B374+Settings!$B$9,WORKDAY(B374,Settings!$B$8))),IF(L374="Escalated",B374+Settings!$B$9,WORKDAY(B374,Settings!$B$8))))</f>
        <v/>
      </c>
      <c r="S374" s="45" t="n"/>
      <c r="T374" s="44" t="n"/>
      <c r="U374" s="46" t="n"/>
      <c r="V374" s="44" t="n"/>
      <c r="W374" s="44" t="n"/>
      <c r="X374" s="44" t="n"/>
      <c r="Y374" s="41">
        <f>IF(B374="","",IF(S374&lt;&gt;"",S374,Settings!$B$4)-B374)</f>
        <v/>
      </c>
      <c r="Z374" s="41">
        <f>IF(B374="","",IF(S374&lt;&gt;"",IF(S374&gt;R374,"Closed late","Closed on time"),IF(Settings!$B$4&gt;R374,"Open: overdue","Open")))</f>
        <v/>
      </c>
      <c r="AA374" s="41">
        <f>IF(B374="","",IF(NETWORKDAYS(B374,C374)-1&gt;Settings!$B$5,"Logged late",IF(AND(L374="Escalated",M374=""),"Escalate to Compliance",IF(AND(L374="Escalated",N374=""),"Notify Sponsor Bank",IF(AND(L374="Escalated",N374&lt;&gt;"",NETWORKDAYS(B374,N374)-1&gt;Settings!$B$10),"Sponsor Bank notified late",IF(AND(K374&lt;&gt;"",K374&lt;&gt;"None",Q374=""),"Enter the legal deadline",IF(AND(S374&lt;&gt;"",OR(T374="",V374="")),"Record outcome and root cause",IF(AND(P374="",S374="",Settings!$B$4&gt;O374),"Acknowledgment overdue",""))))))))</f>
        <v/>
      </c>
    </row>
    <row r="375" ht="15.75" customHeight="1" s="31">
      <c r="A375" s="44" t="n"/>
      <c r="B375" s="45" t="n"/>
      <c r="C375" s="45" t="n"/>
      <c r="D375" s="44" t="n"/>
      <c r="E375" s="44" t="n"/>
      <c r="F375" s="44" t="n"/>
      <c r="G375" s="44" t="n"/>
      <c r="H375" s="44" t="n"/>
      <c r="I375" s="44" t="n"/>
      <c r="J375" s="44" t="n"/>
      <c r="K375" s="44" t="n"/>
      <c r="L375" s="41">
        <f>IF(B375="","",IF(OR(COUNTIF(Settings!$E$4:$E$9,D375)&gt;0,I375="Yes",J375="Yes",K375="Fair lending allegation"),"Escalated","Standard"))</f>
        <v/>
      </c>
      <c r="M375" s="45" t="n"/>
      <c r="N375" s="45" t="n"/>
      <c r="O375" s="42">
        <f>IF(B375="","",WORKDAY(B375,Settings!$B$7))</f>
        <v/>
      </c>
      <c r="P375" s="45" t="n"/>
      <c r="Q375" s="45" t="n"/>
      <c r="R375" s="42">
        <f>IF(B375="","",IF(Q375&lt;&gt;"",MIN(Q375,IF(L375="Escalated",B375+Settings!$B$9,WORKDAY(B375,Settings!$B$8))),IF(L375="Escalated",B375+Settings!$B$9,WORKDAY(B375,Settings!$B$8))))</f>
        <v/>
      </c>
      <c r="S375" s="45" t="n"/>
      <c r="T375" s="44" t="n"/>
      <c r="U375" s="46" t="n"/>
      <c r="V375" s="44" t="n"/>
      <c r="W375" s="44" t="n"/>
      <c r="X375" s="44" t="n"/>
      <c r="Y375" s="41">
        <f>IF(B375="","",IF(S375&lt;&gt;"",S375,Settings!$B$4)-B375)</f>
        <v/>
      </c>
      <c r="Z375" s="41">
        <f>IF(B375="","",IF(S375&lt;&gt;"",IF(S375&gt;R375,"Closed late","Closed on time"),IF(Settings!$B$4&gt;R375,"Open: overdue","Open")))</f>
        <v/>
      </c>
      <c r="AA375" s="41">
        <f>IF(B375="","",IF(NETWORKDAYS(B375,C375)-1&gt;Settings!$B$5,"Logged late",IF(AND(L375="Escalated",M375=""),"Escalate to Compliance",IF(AND(L375="Escalated",N375=""),"Notify Sponsor Bank",IF(AND(L375="Escalated",N375&lt;&gt;"",NETWORKDAYS(B375,N375)-1&gt;Settings!$B$10),"Sponsor Bank notified late",IF(AND(K375&lt;&gt;"",K375&lt;&gt;"None",Q375=""),"Enter the legal deadline",IF(AND(S375&lt;&gt;"",OR(T375="",V375="")),"Record outcome and root cause",IF(AND(P375="",S375="",Settings!$B$4&gt;O375),"Acknowledgment overdue",""))))))))</f>
        <v/>
      </c>
    </row>
    <row r="376" ht="15.75" customHeight="1" s="31">
      <c r="A376" s="44" t="n"/>
      <c r="B376" s="45" t="n"/>
      <c r="C376" s="45" t="n"/>
      <c r="D376" s="44" t="n"/>
      <c r="E376" s="44" t="n"/>
      <c r="F376" s="44" t="n"/>
      <c r="G376" s="44" t="n"/>
      <c r="H376" s="44" t="n"/>
      <c r="I376" s="44" t="n"/>
      <c r="J376" s="44" t="n"/>
      <c r="K376" s="44" t="n"/>
      <c r="L376" s="41">
        <f>IF(B376="","",IF(OR(COUNTIF(Settings!$E$4:$E$9,D376)&gt;0,I376="Yes",J376="Yes",K376="Fair lending allegation"),"Escalated","Standard"))</f>
        <v/>
      </c>
      <c r="M376" s="45" t="n"/>
      <c r="N376" s="45" t="n"/>
      <c r="O376" s="42">
        <f>IF(B376="","",WORKDAY(B376,Settings!$B$7))</f>
        <v/>
      </c>
      <c r="P376" s="45" t="n"/>
      <c r="Q376" s="45" t="n"/>
      <c r="R376" s="42">
        <f>IF(B376="","",IF(Q376&lt;&gt;"",MIN(Q376,IF(L376="Escalated",B376+Settings!$B$9,WORKDAY(B376,Settings!$B$8))),IF(L376="Escalated",B376+Settings!$B$9,WORKDAY(B376,Settings!$B$8))))</f>
        <v/>
      </c>
      <c r="S376" s="45" t="n"/>
      <c r="T376" s="44" t="n"/>
      <c r="U376" s="46" t="n"/>
      <c r="V376" s="44" t="n"/>
      <c r="W376" s="44" t="n"/>
      <c r="X376" s="44" t="n"/>
      <c r="Y376" s="41">
        <f>IF(B376="","",IF(S376&lt;&gt;"",S376,Settings!$B$4)-B376)</f>
        <v/>
      </c>
      <c r="Z376" s="41">
        <f>IF(B376="","",IF(S376&lt;&gt;"",IF(S376&gt;R376,"Closed late","Closed on time"),IF(Settings!$B$4&gt;R376,"Open: overdue","Open")))</f>
        <v/>
      </c>
      <c r="AA376" s="41">
        <f>IF(B376="","",IF(NETWORKDAYS(B376,C376)-1&gt;Settings!$B$5,"Logged late",IF(AND(L376="Escalated",M376=""),"Escalate to Compliance",IF(AND(L376="Escalated",N376=""),"Notify Sponsor Bank",IF(AND(L376="Escalated",N376&lt;&gt;"",NETWORKDAYS(B376,N376)-1&gt;Settings!$B$10),"Sponsor Bank notified late",IF(AND(K376&lt;&gt;"",K376&lt;&gt;"None",Q376=""),"Enter the legal deadline",IF(AND(S376&lt;&gt;"",OR(T376="",V376="")),"Record outcome and root cause",IF(AND(P376="",S376="",Settings!$B$4&gt;O376),"Acknowledgment overdue",""))))))))</f>
        <v/>
      </c>
    </row>
    <row r="377" ht="15.75" customHeight="1" s="31">
      <c r="A377" s="44" t="n"/>
      <c r="B377" s="45" t="n"/>
      <c r="C377" s="45" t="n"/>
      <c r="D377" s="44" t="n"/>
      <c r="E377" s="44" t="n"/>
      <c r="F377" s="44" t="n"/>
      <c r="G377" s="44" t="n"/>
      <c r="H377" s="44" t="n"/>
      <c r="I377" s="44" t="n"/>
      <c r="J377" s="44" t="n"/>
      <c r="K377" s="44" t="n"/>
      <c r="L377" s="41">
        <f>IF(B377="","",IF(OR(COUNTIF(Settings!$E$4:$E$9,D377)&gt;0,I377="Yes",J377="Yes",K377="Fair lending allegation"),"Escalated","Standard"))</f>
        <v/>
      </c>
      <c r="M377" s="45" t="n"/>
      <c r="N377" s="45" t="n"/>
      <c r="O377" s="42">
        <f>IF(B377="","",WORKDAY(B377,Settings!$B$7))</f>
        <v/>
      </c>
      <c r="P377" s="45" t="n"/>
      <c r="Q377" s="45" t="n"/>
      <c r="R377" s="42">
        <f>IF(B377="","",IF(Q377&lt;&gt;"",MIN(Q377,IF(L377="Escalated",B377+Settings!$B$9,WORKDAY(B377,Settings!$B$8))),IF(L377="Escalated",B377+Settings!$B$9,WORKDAY(B377,Settings!$B$8))))</f>
        <v/>
      </c>
      <c r="S377" s="45" t="n"/>
      <c r="T377" s="44" t="n"/>
      <c r="U377" s="46" t="n"/>
      <c r="V377" s="44" t="n"/>
      <c r="W377" s="44" t="n"/>
      <c r="X377" s="44" t="n"/>
      <c r="Y377" s="41">
        <f>IF(B377="","",IF(S377&lt;&gt;"",S377,Settings!$B$4)-B377)</f>
        <v/>
      </c>
      <c r="Z377" s="41">
        <f>IF(B377="","",IF(S377&lt;&gt;"",IF(S377&gt;R377,"Closed late","Closed on time"),IF(Settings!$B$4&gt;R377,"Open: overdue","Open")))</f>
        <v/>
      </c>
      <c r="AA377" s="41">
        <f>IF(B377="","",IF(NETWORKDAYS(B377,C377)-1&gt;Settings!$B$5,"Logged late",IF(AND(L377="Escalated",M377=""),"Escalate to Compliance",IF(AND(L377="Escalated",N377=""),"Notify Sponsor Bank",IF(AND(L377="Escalated",N377&lt;&gt;"",NETWORKDAYS(B377,N377)-1&gt;Settings!$B$10),"Sponsor Bank notified late",IF(AND(K377&lt;&gt;"",K377&lt;&gt;"None",Q377=""),"Enter the legal deadline",IF(AND(S377&lt;&gt;"",OR(T377="",V377="")),"Record outcome and root cause",IF(AND(P377="",S377="",Settings!$B$4&gt;O377),"Acknowledgment overdue",""))))))))</f>
        <v/>
      </c>
    </row>
    <row r="378" ht="15.75" customHeight="1" s="31">
      <c r="A378" s="44" t="n"/>
      <c r="B378" s="45" t="n"/>
      <c r="C378" s="45" t="n"/>
      <c r="D378" s="44" t="n"/>
      <c r="E378" s="44" t="n"/>
      <c r="F378" s="44" t="n"/>
      <c r="G378" s="44" t="n"/>
      <c r="H378" s="44" t="n"/>
      <c r="I378" s="44" t="n"/>
      <c r="J378" s="44" t="n"/>
      <c r="K378" s="44" t="n"/>
      <c r="L378" s="41">
        <f>IF(B378="","",IF(OR(COUNTIF(Settings!$E$4:$E$9,D378)&gt;0,I378="Yes",J378="Yes",K378="Fair lending allegation"),"Escalated","Standard"))</f>
        <v/>
      </c>
      <c r="M378" s="45" t="n"/>
      <c r="N378" s="45" t="n"/>
      <c r="O378" s="42">
        <f>IF(B378="","",WORKDAY(B378,Settings!$B$7))</f>
        <v/>
      </c>
      <c r="P378" s="45" t="n"/>
      <c r="Q378" s="45" t="n"/>
      <c r="R378" s="42">
        <f>IF(B378="","",IF(Q378&lt;&gt;"",MIN(Q378,IF(L378="Escalated",B378+Settings!$B$9,WORKDAY(B378,Settings!$B$8))),IF(L378="Escalated",B378+Settings!$B$9,WORKDAY(B378,Settings!$B$8))))</f>
        <v/>
      </c>
      <c r="S378" s="45" t="n"/>
      <c r="T378" s="44" t="n"/>
      <c r="U378" s="46" t="n"/>
      <c r="V378" s="44" t="n"/>
      <c r="W378" s="44" t="n"/>
      <c r="X378" s="44" t="n"/>
      <c r="Y378" s="41">
        <f>IF(B378="","",IF(S378&lt;&gt;"",S378,Settings!$B$4)-B378)</f>
        <v/>
      </c>
      <c r="Z378" s="41">
        <f>IF(B378="","",IF(S378&lt;&gt;"",IF(S378&gt;R378,"Closed late","Closed on time"),IF(Settings!$B$4&gt;R378,"Open: overdue","Open")))</f>
        <v/>
      </c>
      <c r="AA378" s="41">
        <f>IF(B378="","",IF(NETWORKDAYS(B378,C378)-1&gt;Settings!$B$5,"Logged late",IF(AND(L378="Escalated",M378=""),"Escalate to Compliance",IF(AND(L378="Escalated",N378=""),"Notify Sponsor Bank",IF(AND(L378="Escalated",N378&lt;&gt;"",NETWORKDAYS(B378,N378)-1&gt;Settings!$B$10),"Sponsor Bank notified late",IF(AND(K378&lt;&gt;"",K378&lt;&gt;"None",Q378=""),"Enter the legal deadline",IF(AND(S378&lt;&gt;"",OR(T378="",V378="")),"Record outcome and root cause",IF(AND(P378="",S378="",Settings!$B$4&gt;O378),"Acknowledgment overdue",""))))))))</f>
        <v/>
      </c>
    </row>
    <row r="379" ht="15.75" customHeight="1" s="31">
      <c r="A379" s="44" t="n"/>
      <c r="B379" s="45" t="n"/>
      <c r="C379" s="45" t="n"/>
      <c r="D379" s="44" t="n"/>
      <c r="E379" s="44" t="n"/>
      <c r="F379" s="44" t="n"/>
      <c r="G379" s="44" t="n"/>
      <c r="H379" s="44" t="n"/>
      <c r="I379" s="44" t="n"/>
      <c r="J379" s="44" t="n"/>
      <c r="K379" s="44" t="n"/>
      <c r="L379" s="41">
        <f>IF(B379="","",IF(OR(COUNTIF(Settings!$E$4:$E$9,D379)&gt;0,I379="Yes",J379="Yes",K379="Fair lending allegation"),"Escalated","Standard"))</f>
        <v/>
      </c>
      <c r="M379" s="45" t="n"/>
      <c r="N379" s="45" t="n"/>
      <c r="O379" s="42">
        <f>IF(B379="","",WORKDAY(B379,Settings!$B$7))</f>
        <v/>
      </c>
      <c r="P379" s="45" t="n"/>
      <c r="Q379" s="45" t="n"/>
      <c r="R379" s="42">
        <f>IF(B379="","",IF(Q379&lt;&gt;"",MIN(Q379,IF(L379="Escalated",B379+Settings!$B$9,WORKDAY(B379,Settings!$B$8))),IF(L379="Escalated",B379+Settings!$B$9,WORKDAY(B379,Settings!$B$8))))</f>
        <v/>
      </c>
      <c r="S379" s="45" t="n"/>
      <c r="T379" s="44" t="n"/>
      <c r="U379" s="46" t="n"/>
      <c r="V379" s="44" t="n"/>
      <c r="W379" s="44" t="n"/>
      <c r="X379" s="44" t="n"/>
      <c r="Y379" s="41">
        <f>IF(B379="","",IF(S379&lt;&gt;"",S379,Settings!$B$4)-B379)</f>
        <v/>
      </c>
      <c r="Z379" s="41">
        <f>IF(B379="","",IF(S379&lt;&gt;"",IF(S379&gt;R379,"Closed late","Closed on time"),IF(Settings!$B$4&gt;R379,"Open: overdue","Open")))</f>
        <v/>
      </c>
      <c r="AA379" s="41">
        <f>IF(B379="","",IF(NETWORKDAYS(B379,C379)-1&gt;Settings!$B$5,"Logged late",IF(AND(L379="Escalated",M379=""),"Escalate to Compliance",IF(AND(L379="Escalated",N379=""),"Notify Sponsor Bank",IF(AND(L379="Escalated",N379&lt;&gt;"",NETWORKDAYS(B379,N379)-1&gt;Settings!$B$10),"Sponsor Bank notified late",IF(AND(K379&lt;&gt;"",K379&lt;&gt;"None",Q379=""),"Enter the legal deadline",IF(AND(S379&lt;&gt;"",OR(T379="",V379="")),"Record outcome and root cause",IF(AND(P379="",S379="",Settings!$B$4&gt;O379),"Acknowledgment overdue",""))))))))</f>
        <v/>
      </c>
    </row>
    <row r="380" ht="15.75" customHeight="1" s="31">
      <c r="A380" s="44" t="n"/>
      <c r="B380" s="45" t="n"/>
      <c r="C380" s="45" t="n"/>
      <c r="D380" s="44" t="n"/>
      <c r="E380" s="44" t="n"/>
      <c r="F380" s="44" t="n"/>
      <c r="G380" s="44" t="n"/>
      <c r="H380" s="44" t="n"/>
      <c r="I380" s="44" t="n"/>
      <c r="J380" s="44" t="n"/>
      <c r="K380" s="44" t="n"/>
      <c r="L380" s="41">
        <f>IF(B380="","",IF(OR(COUNTIF(Settings!$E$4:$E$9,D380)&gt;0,I380="Yes",J380="Yes",K380="Fair lending allegation"),"Escalated","Standard"))</f>
        <v/>
      </c>
      <c r="M380" s="45" t="n"/>
      <c r="N380" s="45" t="n"/>
      <c r="O380" s="42">
        <f>IF(B380="","",WORKDAY(B380,Settings!$B$7))</f>
        <v/>
      </c>
      <c r="P380" s="45" t="n"/>
      <c r="Q380" s="45" t="n"/>
      <c r="R380" s="42">
        <f>IF(B380="","",IF(Q380&lt;&gt;"",MIN(Q380,IF(L380="Escalated",B380+Settings!$B$9,WORKDAY(B380,Settings!$B$8))),IF(L380="Escalated",B380+Settings!$B$9,WORKDAY(B380,Settings!$B$8))))</f>
        <v/>
      </c>
      <c r="S380" s="45" t="n"/>
      <c r="T380" s="44" t="n"/>
      <c r="U380" s="46" t="n"/>
      <c r="V380" s="44" t="n"/>
      <c r="W380" s="44" t="n"/>
      <c r="X380" s="44" t="n"/>
      <c r="Y380" s="41">
        <f>IF(B380="","",IF(S380&lt;&gt;"",S380,Settings!$B$4)-B380)</f>
        <v/>
      </c>
      <c r="Z380" s="41">
        <f>IF(B380="","",IF(S380&lt;&gt;"",IF(S380&gt;R380,"Closed late","Closed on time"),IF(Settings!$B$4&gt;R380,"Open: overdue","Open")))</f>
        <v/>
      </c>
      <c r="AA380" s="41">
        <f>IF(B380="","",IF(NETWORKDAYS(B380,C380)-1&gt;Settings!$B$5,"Logged late",IF(AND(L380="Escalated",M380=""),"Escalate to Compliance",IF(AND(L380="Escalated",N380=""),"Notify Sponsor Bank",IF(AND(L380="Escalated",N380&lt;&gt;"",NETWORKDAYS(B380,N380)-1&gt;Settings!$B$10),"Sponsor Bank notified late",IF(AND(K380&lt;&gt;"",K380&lt;&gt;"None",Q380=""),"Enter the legal deadline",IF(AND(S380&lt;&gt;"",OR(T380="",V380="")),"Record outcome and root cause",IF(AND(P380="",S380="",Settings!$B$4&gt;O380),"Acknowledgment overdue",""))))))))</f>
        <v/>
      </c>
    </row>
    <row r="381" ht="15.75" customHeight="1" s="31">
      <c r="A381" s="44" t="n"/>
      <c r="B381" s="45" t="n"/>
      <c r="C381" s="45" t="n"/>
      <c r="D381" s="44" t="n"/>
      <c r="E381" s="44" t="n"/>
      <c r="F381" s="44" t="n"/>
      <c r="G381" s="44" t="n"/>
      <c r="H381" s="44" t="n"/>
      <c r="I381" s="44" t="n"/>
      <c r="J381" s="44" t="n"/>
      <c r="K381" s="44" t="n"/>
      <c r="L381" s="41">
        <f>IF(B381="","",IF(OR(COUNTIF(Settings!$E$4:$E$9,D381)&gt;0,I381="Yes",J381="Yes",K381="Fair lending allegation"),"Escalated","Standard"))</f>
        <v/>
      </c>
      <c r="M381" s="45" t="n"/>
      <c r="N381" s="45" t="n"/>
      <c r="O381" s="42">
        <f>IF(B381="","",WORKDAY(B381,Settings!$B$7))</f>
        <v/>
      </c>
      <c r="P381" s="45" t="n"/>
      <c r="Q381" s="45" t="n"/>
      <c r="R381" s="42">
        <f>IF(B381="","",IF(Q381&lt;&gt;"",MIN(Q381,IF(L381="Escalated",B381+Settings!$B$9,WORKDAY(B381,Settings!$B$8))),IF(L381="Escalated",B381+Settings!$B$9,WORKDAY(B381,Settings!$B$8))))</f>
        <v/>
      </c>
      <c r="S381" s="45" t="n"/>
      <c r="T381" s="44" t="n"/>
      <c r="U381" s="46" t="n"/>
      <c r="V381" s="44" t="n"/>
      <c r="W381" s="44" t="n"/>
      <c r="X381" s="44" t="n"/>
      <c r="Y381" s="41">
        <f>IF(B381="","",IF(S381&lt;&gt;"",S381,Settings!$B$4)-B381)</f>
        <v/>
      </c>
      <c r="Z381" s="41">
        <f>IF(B381="","",IF(S381&lt;&gt;"",IF(S381&gt;R381,"Closed late","Closed on time"),IF(Settings!$B$4&gt;R381,"Open: overdue","Open")))</f>
        <v/>
      </c>
      <c r="AA381" s="41">
        <f>IF(B381="","",IF(NETWORKDAYS(B381,C381)-1&gt;Settings!$B$5,"Logged late",IF(AND(L381="Escalated",M381=""),"Escalate to Compliance",IF(AND(L381="Escalated",N381=""),"Notify Sponsor Bank",IF(AND(L381="Escalated",N381&lt;&gt;"",NETWORKDAYS(B381,N381)-1&gt;Settings!$B$10),"Sponsor Bank notified late",IF(AND(K381&lt;&gt;"",K381&lt;&gt;"None",Q381=""),"Enter the legal deadline",IF(AND(S381&lt;&gt;"",OR(T381="",V381="")),"Record outcome and root cause",IF(AND(P381="",S381="",Settings!$B$4&gt;O381),"Acknowledgment overdue",""))))))))</f>
        <v/>
      </c>
    </row>
    <row r="382" ht="15.75" customHeight="1" s="31">
      <c r="A382" s="44" t="n"/>
      <c r="B382" s="45" t="n"/>
      <c r="C382" s="45" t="n"/>
      <c r="D382" s="44" t="n"/>
      <c r="E382" s="44" t="n"/>
      <c r="F382" s="44" t="n"/>
      <c r="G382" s="44" t="n"/>
      <c r="H382" s="44" t="n"/>
      <c r="I382" s="44" t="n"/>
      <c r="J382" s="44" t="n"/>
      <c r="K382" s="44" t="n"/>
      <c r="L382" s="41">
        <f>IF(B382="","",IF(OR(COUNTIF(Settings!$E$4:$E$9,D382)&gt;0,I382="Yes",J382="Yes",K382="Fair lending allegation"),"Escalated","Standard"))</f>
        <v/>
      </c>
      <c r="M382" s="45" t="n"/>
      <c r="N382" s="45" t="n"/>
      <c r="O382" s="42">
        <f>IF(B382="","",WORKDAY(B382,Settings!$B$7))</f>
        <v/>
      </c>
      <c r="P382" s="45" t="n"/>
      <c r="Q382" s="45" t="n"/>
      <c r="R382" s="42">
        <f>IF(B382="","",IF(Q382&lt;&gt;"",MIN(Q382,IF(L382="Escalated",B382+Settings!$B$9,WORKDAY(B382,Settings!$B$8))),IF(L382="Escalated",B382+Settings!$B$9,WORKDAY(B382,Settings!$B$8))))</f>
        <v/>
      </c>
      <c r="S382" s="45" t="n"/>
      <c r="T382" s="44" t="n"/>
      <c r="U382" s="46" t="n"/>
      <c r="V382" s="44" t="n"/>
      <c r="W382" s="44" t="n"/>
      <c r="X382" s="44" t="n"/>
      <c r="Y382" s="41">
        <f>IF(B382="","",IF(S382&lt;&gt;"",S382,Settings!$B$4)-B382)</f>
        <v/>
      </c>
      <c r="Z382" s="41">
        <f>IF(B382="","",IF(S382&lt;&gt;"",IF(S382&gt;R382,"Closed late","Closed on time"),IF(Settings!$B$4&gt;R382,"Open: overdue","Open")))</f>
        <v/>
      </c>
      <c r="AA382" s="41">
        <f>IF(B382="","",IF(NETWORKDAYS(B382,C382)-1&gt;Settings!$B$5,"Logged late",IF(AND(L382="Escalated",M382=""),"Escalate to Compliance",IF(AND(L382="Escalated",N382=""),"Notify Sponsor Bank",IF(AND(L382="Escalated",N382&lt;&gt;"",NETWORKDAYS(B382,N382)-1&gt;Settings!$B$10),"Sponsor Bank notified late",IF(AND(K382&lt;&gt;"",K382&lt;&gt;"None",Q382=""),"Enter the legal deadline",IF(AND(S382&lt;&gt;"",OR(T382="",V382="")),"Record outcome and root cause",IF(AND(P382="",S382="",Settings!$B$4&gt;O382),"Acknowledgment overdue",""))))))))</f>
        <v/>
      </c>
    </row>
    <row r="383" ht="15.75" customHeight="1" s="31">
      <c r="A383" s="44" t="n"/>
      <c r="B383" s="45" t="n"/>
      <c r="C383" s="45" t="n"/>
      <c r="D383" s="44" t="n"/>
      <c r="E383" s="44" t="n"/>
      <c r="F383" s="44" t="n"/>
      <c r="G383" s="44" t="n"/>
      <c r="H383" s="44" t="n"/>
      <c r="I383" s="44" t="n"/>
      <c r="J383" s="44" t="n"/>
      <c r="K383" s="44" t="n"/>
      <c r="L383" s="41">
        <f>IF(B383="","",IF(OR(COUNTIF(Settings!$E$4:$E$9,D383)&gt;0,I383="Yes",J383="Yes",K383="Fair lending allegation"),"Escalated","Standard"))</f>
        <v/>
      </c>
      <c r="M383" s="45" t="n"/>
      <c r="N383" s="45" t="n"/>
      <c r="O383" s="42">
        <f>IF(B383="","",WORKDAY(B383,Settings!$B$7))</f>
        <v/>
      </c>
      <c r="P383" s="45" t="n"/>
      <c r="Q383" s="45" t="n"/>
      <c r="R383" s="42">
        <f>IF(B383="","",IF(Q383&lt;&gt;"",MIN(Q383,IF(L383="Escalated",B383+Settings!$B$9,WORKDAY(B383,Settings!$B$8))),IF(L383="Escalated",B383+Settings!$B$9,WORKDAY(B383,Settings!$B$8))))</f>
        <v/>
      </c>
      <c r="S383" s="45" t="n"/>
      <c r="T383" s="44" t="n"/>
      <c r="U383" s="46" t="n"/>
      <c r="V383" s="44" t="n"/>
      <c r="W383" s="44" t="n"/>
      <c r="X383" s="44" t="n"/>
      <c r="Y383" s="41">
        <f>IF(B383="","",IF(S383&lt;&gt;"",S383,Settings!$B$4)-B383)</f>
        <v/>
      </c>
      <c r="Z383" s="41">
        <f>IF(B383="","",IF(S383&lt;&gt;"",IF(S383&gt;R383,"Closed late","Closed on time"),IF(Settings!$B$4&gt;R383,"Open: overdue","Open")))</f>
        <v/>
      </c>
      <c r="AA383" s="41">
        <f>IF(B383="","",IF(NETWORKDAYS(B383,C383)-1&gt;Settings!$B$5,"Logged late",IF(AND(L383="Escalated",M383=""),"Escalate to Compliance",IF(AND(L383="Escalated",N383=""),"Notify Sponsor Bank",IF(AND(L383="Escalated",N383&lt;&gt;"",NETWORKDAYS(B383,N383)-1&gt;Settings!$B$10),"Sponsor Bank notified late",IF(AND(K383&lt;&gt;"",K383&lt;&gt;"None",Q383=""),"Enter the legal deadline",IF(AND(S383&lt;&gt;"",OR(T383="",V383="")),"Record outcome and root cause",IF(AND(P383="",S383="",Settings!$B$4&gt;O383),"Acknowledgment overdue",""))))))))</f>
        <v/>
      </c>
    </row>
    <row r="384" ht="15.75" customHeight="1" s="31">
      <c r="A384" s="44" t="n"/>
      <c r="B384" s="45" t="n"/>
      <c r="C384" s="45" t="n"/>
      <c r="D384" s="44" t="n"/>
      <c r="E384" s="44" t="n"/>
      <c r="F384" s="44" t="n"/>
      <c r="G384" s="44" t="n"/>
      <c r="H384" s="44" t="n"/>
      <c r="I384" s="44" t="n"/>
      <c r="J384" s="44" t="n"/>
      <c r="K384" s="44" t="n"/>
      <c r="L384" s="41">
        <f>IF(B384="","",IF(OR(COUNTIF(Settings!$E$4:$E$9,D384)&gt;0,I384="Yes",J384="Yes",K384="Fair lending allegation"),"Escalated","Standard"))</f>
        <v/>
      </c>
      <c r="M384" s="45" t="n"/>
      <c r="N384" s="45" t="n"/>
      <c r="O384" s="42">
        <f>IF(B384="","",WORKDAY(B384,Settings!$B$7))</f>
        <v/>
      </c>
      <c r="P384" s="45" t="n"/>
      <c r="Q384" s="45" t="n"/>
      <c r="R384" s="42">
        <f>IF(B384="","",IF(Q384&lt;&gt;"",MIN(Q384,IF(L384="Escalated",B384+Settings!$B$9,WORKDAY(B384,Settings!$B$8))),IF(L384="Escalated",B384+Settings!$B$9,WORKDAY(B384,Settings!$B$8))))</f>
        <v/>
      </c>
      <c r="S384" s="45" t="n"/>
      <c r="T384" s="44" t="n"/>
      <c r="U384" s="46" t="n"/>
      <c r="V384" s="44" t="n"/>
      <c r="W384" s="44" t="n"/>
      <c r="X384" s="44" t="n"/>
      <c r="Y384" s="41">
        <f>IF(B384="","",IF(S384&lt;&gt;"",S384,Settings!$B$4)-B384)</f>
        <v/>
      </c>
      <c r="Z384" s="41">
        <f>IF(B384="","",IF(S384&lt;&gt;"",IF(S384&gt;R384,"Closed late","Closed on time"),IF(Settings!$B$4&gt;R384,"Open: overdue","Open")))</f>
        <v/>
      </c>
      <c r="AA384" s="41">
        <f>IF(B384="","",IF(NETWORKDAYS(B384,C384)-1&gt;Settings!$B$5,"Logged late",IF(AND(L384="Escalated",M384=""),"Escalate to Compliance",IF(AND(L384="Escalated",N384=""),"Notify Sponsor Bank",IF(AND(L384="Escalated",N384&lt;&gt;"",NETWORKDAYS(B384,N384)-1&gt;Settings!$B$10),"Sponsor Bank notified late",IF(AND(K384&lt;&gt;"",K384&lt;&gt;"None",Q384=""),"Enter the legal deadline",IF(AND(S384&lt;&gt;"",OR(T384="",V384="")),"Record outcome and root cause",IF(AND(P384="",S384="",Settings!$B$4&gt;O384),"Acknowledgment overdue",""))))))))</f>
        <v/>
      </c>
    </row>
    <row r="385" ht="15.75" customHeight="1" s="31">
      <c r="A385" s="44" t="n"/>
      <c r="B385" s="45" t="n"/>
      <c r="C385" s="45" t="n"/>
      <c r="D385" s="44" t="n"/>
      <c r="E385" s="44" t="n"/>
      <c r="F385" s="44" t="n"/>
      <c r="G385" s="44" t="n"/>
      <c r="H385" s="44" t="n"/>
      <c r="I385" s="44" t="n"/>
      <c r="J385" s="44" t="n"/>
      <c r="K385" s="44" t="n"/>
      <c r="L385" s="41">
        <f>IF(B385="","",IF(OR(COUNTIF(Settings!$E$4:$E$9,D385)&gt;0,I385="Yes",J385="Yes",K385="Fair lending allegation"),"Escalated","Standard"))</f>
        <v/>
      </c>
      <c r="M385" s="45" t="n"/>
      <c r="N385" s="45" t="n"/>
      <c r="O385" s="42">
        <f>IF(B385="","",WORKDAY(B385,Settings!$B$7))</f>
        <v/>
      </c>
      <c r="P385" s="45" t="n"/>
      <c r="Q385" s="45" t="n"/>
      <c r="R385" s="42">
        <f>IF(B385="","",IF(Q385&lt;&gt;"",MIN(Q385,IF(L385="Escalated",B385+Settings!$B$9,WORKDAY(B385,Settings!$B$8))),IF(L385="Escalated",B385+Settings!$B$9,WORKDAY(B385,Settings!$B$8))))</f>
        <v/>
      </c>
      <c r="S385" s="45" t="n"/>
      <c r="T385" s="44" t="n"/>
      <c r="U385" s="46" t="n"/>
      <c r="V385" s="44" t="n"/>
      <c r="W385" s="44" t="n"/>
      <c r="X385" s="44" t="n"/>
      <c r="Y385" s="41">
        <f>IF(B385="","",IF(S385&lt;&gt;"",S385,Settings!$B$4)-B385)</f>
        <v/>
      </c>
      <c r="Z385" s="41">
        <f>IF(B385="","",IF(S385&lt;&gt;"",IF(S385&gt;R385,"Closed late","Closed on time"),IF(Settings!$B$4&gt;R385,"Open: overdue","Open")))</f>
        <v/>
      </c>
      <c r="AA385" s="41">
        <f>IF(B385="","",IF(NETWORKDAYS(B385,C385)-1&gt;Settings!$B$5,"Logged late",IF(AND(L385="Escalated",M385=""),"Escalate to Compliance",IF(AND(L385="Escalated",N385=""),"Notify Sponsor Bank",IF(AND(L385="Escalated",N385&lt;&gt;"",NETWORKDAYS(B385,N385)-1&gt;Settings!$B$10),"Sponsor Bank notified late",IF(AND(K385&lt;&gt;"",K385&lt;&gt;"None",Q385=""),"Enter the legal deadline",IF(AND(S385&lt;&gt;"",OR(T385="",V385="")),"Record outcome and root cause",IF(AND(P385="",S385="",Settings!$B$4&gt;O385),"Acknowledgment overdue",""))))))))</f>
        <v/>
      </c>
    </row>
    <row r="386" ht="15.75" customHeight="1" s="31">
      <c r="A386" s="44" t="n"/>
      <c r="B386" s="45" t="n"/>
      <c r="C386" s="45" t="n"/>
      <c r="D386" s="44" t="n"/>
      <c r="E386" s="44" t="n"/>
      <c r="F386" s="44" t="n"/>
      <c r="G386" s="44" t="n"/>
      <c r="H386" s="44" t="n"/>
      <c r="I386" s="44" t="n"/>
      <c r="J386" s="44" t="n"/>
      <c r="K386" s="44" t="n"/>
      <c r="L386" s="41">
        <f>IF(B386="","",IF(OR(COUNTIF(Settings!$E$4:$E$9,D386)&gt;0,I386="Yes",J386="Yes",K386="Fair lending allegation"),"Escalated","Standard"))</f>
        <v/>
      </c>
      <c r="M386" s="45" t="n"/>
      <c r="N386" s="45" t="n"/>
      <c r="O386" s="42">
        <f>IF(B386="","",WORKDAY(B386,Settings!$B$7))</f>
        <v/>
      </c>
      <c r="P386" s="45" t="n"/>
      <c r="Q386" s="45" t="n"/>
      <c r="R386" s="42">
        <f>IF(B386="","",IF(Q386&lt;&gt;"",MIN(Q386,IF(L386="Escalated",B386+Settings!$B$9,WORKDAY(B386,Settings!$B$8))),IF(L386="Escalated",B386+Settings!$B$9,WORKDAY(B386,Settings!$B$8))))</f>
        <v/>
      </c>
      <c r="S386" s="45" t="n"/>
      <c r="T386" s="44" t="n"/>
      <c r="U386" s="46" t="n"/>
      <c r="V386" s="44" t="n"/>
      <c r="W386" s="44" t="n"/>
      <c r="X386" s="44" t="n"/>
      <c r="Y386" s="41">
        <f>IF(B386="","",IF(S386&lt;&gt;"",S386,Settings!$B$4)-B386)</f>
        <v/>
      </c>
      <c r="Z386" s="41">
        <f>IF(B386="","",IF(S386&lt;&gt;"",IF(S386&gt;R386,"Closed late","Closed on time"),IF(Settings!$B$4&gt;R386,"Open: overdue","Open")))</f>
        <v/>
      </c>
      <c r="AA386" s="41">
        <f>IF(B386="","",IF(NETWORKDAYS(B386,C386)-1&gt;Settings!$B$5,"Logged late",IF(AND(L386="Escalated",M386=""),"Escalate to Compliance",IF(AND(L386="Escalated",N386=""),"Notify Sponsor Bank",IF(AND(L386="Escalated",N386&lt;&gt;"",NETWORKDAYS(B386,N386)-1&gt;Settings!$B$10),"Sponsor Bank notified late",IF(AND(K386&lt;&gt;"",K386&lt;&gt;"None",Q386=""),"Enter the legal deadline",IF(AND(S386&lt;&gt;"",OR(T386="",V386="")),"Record outcome and root cause",IF(AND(P386="",S386="",Settings!$B$4&gt;O386),"Acknowledgment overdue",""))))))))</f>
        <v/>
      </c>
    </row>
    <row r="387" ht="15.75" customHeight="1" s="31">
      <c r="A387" s="44" t="n"/>
      <c r="B387" s="45" t="n"/>
      <c r="C387" s="45" t="n"/>
      <c r="D387" s="44" t="n"/>
      <c r="E387" s="44" t="n"/>
      <c r="F387" s="44" t="n"/>
      <c r="G387" s="44" t="n"/>
      <c r="H387" s="44" t="n"/>
      <c r="I387" s="44" t="n"/>
      <c r="J387" s="44" t="n"/>
      <c r="K387" s="44" t="n"/>
      <c r="L387" s="41">
        <f>IF(B387="","",IF(OR(COUNTIF(Settings!$E$4:$E$9,D387)&gt;0,I387="Yes",J387="Yes",K387="Fair lending allegation"),"Escalated","Standard"))</f>
        <v/>
      </c>
      <c r="M387" s="45" t="n"/>
      <c r="N387" s="45" t="n"/>
      <c r="O387" s="42">
        <f>IF(B387="","",WORKDAY(B387,Settings!$B$7))</f>
        <v/>
      </c>
      <c r="P387" s="45" t="n"/>
      <c r="Q387" s="45" t="n"/>
      <c r="R387" s="42">
        <f>IF(B387="","",IF(Q387&lt;&gt;"",MIN(Q387,IF(L387="Escalated",B387+Settings!$B$9,WORKDAY(B387,Settings!$B$8))),IF(L387="Escalated",B387+Settings!$B$9,WORKDAY(B387,Settings!$B$8))))</f>
        <v/>
      </c>
      <c r="S387" s="45" t="n"/>
      <c r="T387" s="44" t="n"/>
      <c r="U387" s="46" t="n"/>
      <c r="V387" s="44" t="n"/>
      <c r="W387" s="44" t="n"/>
      <c r="X387" s="44" t="n"/>
      <c r="Y387" s="41">
        <f>IF(B387="","",IF(S387&lt;&gt;"",S387,Settings!$B$4)-B387)</f>
        <v/>
      </c>
      <c r="Z387" s="41">
        <f>IF(B387="","",IF(S387&lt;&gt;"",IF(S387&gt;R387,"Closed late","Closed on time"),IF(Settings!$B$4&gt;R387,"Open: overdue","Open")))</f>
        <v/>
      </c>
      <c r="AA387" s="41">
        <f>IF(B387="","",IF(NETWORKDAYS(B387,C387)-1&gt;Settings!$B$5,"Logged late",IF(AND(L387="Escalated",M387=""),"Escalate to Compliance",IF(AND(L387="Escalated",N387=""),"Notify Sponsor Bank",IF(AND(L387="Escalated",N387&lt;&gt;"",NETWORKDAYS(B387,N387)-1&gt;Settings!$B$10),"Sponsor Bank notified late",IF(AND(K387&lt;&gt;"",K387&lt;&gt;"None",Q387=""),"Enter the legal deadline",IF(AND(S387&lt;&gt;"",OR(T387="",V387="")),"Record outcome and root cause",IF(AND(P387="",S387="",Settings!$B$4&gt;O387),"Acknowledgment overdue",""))))))))</f>
        <v/>
      </c>
    </row>
    <row r="388" ht="15.75" customHeight="1" s="31">
      <c r="A388" s="44" t="n"/>
      <c r="B388" s="45" t="n"/>
      <c r="C388" s="45" t="n"/>
      <c r="D388" s="44" t="n"/>
      <c r="E388" s="44" t="n"/>
      <c r="F388" s="44" t="n"/>
      <c r="G388" s="44" t="n"/>
      <c r="H388" s="44" t="n"/>
      <c r="I388" s="44" t="n"/>
      <c r="J388" s="44" t="n"/>
      <c r="K388" s="44" t="n"/>
      <c r="L388" s="41">
        <f>IF(B388="","",IF(OR(COUNTIF(Settings!$E$4:$E$9,D388)&gt;0,I388="Yes",J388="Yes",K388="Fair lending allegation"),"Escalated","Standard"))</f>
        <v/>
      </c>
      <c r="M388" s="45" t="n"/>
      <c r="N388" s="45" t="n"/>
      <c r="O388" s="42">
        <f>IF(B388="","",WORKDAY(B388,Settings!$B$7))</f>
        <v/>
      </c>
      <c r="P388" s="45" t="n"/>
      <c r="Q388" s="45" t="n"/>
      <c r="R388" s="42">
        <f>IF(B388="","",IF(Q388&lt;&gt;"",MIN(Q388,IF(L388="Escalated",B388+Settings!$B$9,WORKDAY(B388,Settings!$B$8))),IF(L388="Escalated",B388+Settings!$B$9,WORKDAY(B388,Settings!$B$8))))</f>
        <v/>
      </c>
      <c r="S388" s="45" t="n"/>
      <c r="T388" s="44" t="n"/>
      <c r="U388" s="46" t="n"/>
      <c r="V388" s="44" t="n"/>
      <c r="W388" s="44" t="n"/>
      <c r="X388" s="44" t="n"/>
      <c r="Y388" s="41">
        <f>IF(B388="","",IF(S388&lt;&gt;"",S388,Settings!$B$4)-B388)</f>
        <v/>
      </c>
      <c r="Z388" s="41">
        <f>IF(B388="","",IF(S388&lt;&gt;"",IF(S388&gt;R388,"Closed late","Closed on time"),IF(Settings!$B$4&gt;R388,"Open: overdue","Open")))</f>
        <v/>
      </c>
      <c r="AA388" s="41">
        <f>IF(B388="","",IF(NETWORKDAYS(B388,C388)-1&gt;Settings!$B$5,"Logged late",IF(AND(L388="Escalated",M388=""),"Escalate to Compliance",IF(AND(L388="Escalated",N388=""),"Notify Sponsor Bank",IF(AND(L388="Escalated",N388&lt;&gt;"",NETWORKDAYS(B388,N388)-1&gt;Settings!$B$10),"Sponsor Bank notified late",IF(AND(K388&lt;&gt;"",K388&lt;&gt;"None",Q388=""),"Enter the legal deadline",IF(AND(S388&lt;&gt;"",OR(T388="",V388="")),"Record outcome and root cause",IF(AND(P388="",S388="",Settings!$B$4&gt;O388),"Acknowledgment overdue",""))))))))</f>
        <v/>
      </c>
    </row>
    <row r="389" ht="15.75" customHeight="1" s="31">
      <c r="A389" s="44" t="n"/>
      <c r="B389" s="45" t="n"/>
      <c r="C389" s="45" t="n"/>
      <c r="D389" s="44" t="n"/>
      <c r="E389" s="44" t="n"/>
      <c r="F389" s="44" t="n"/>
      <c r="G389" s="44" t="n"/>
      <c r="H389" s="44" t="n"/>
      <c r="I389" s="44" t="n"/>
      <c r="J389" s="44" t="n"/>
      <c r="K389" s="44" t="n"/>
      <c r="L389" s="41">
        <f>IF(B389="","",IF(OR(COUNTIF(Settings!$E$4:$E$9,D389)&gt;0,I389="Yes",J389="Yes",K389="Fair lending allegation"),"Escalated","Standard"))</f>
        <v/>
      </c>
      <c r="M389" s="45" t="n"/>
      <c r="N389" s="45" t="n"/>
      <c r="O389" s="42">
        <f>IF(B389="","",WORKDAY(B389,Settings!$B$7))</f>
        <v/>
      </c>
      <c r="P389" s="45" t="n"/>
      <c r="Q389" s="45" t="n"/>
      <c r="R389" s="42">
        <f>IF(B389="","",IF(Q389&lt;&gt;"",MIN(Q389,IF(L389="Escalated",B389+Settings!$B$9,WORKDAY(B389,Settings!$B$8))),IF(L389="Escalated",B389+Settings!$B$9,WORKDAY(B389,Settings!$B$8))))</f>
        <v/>
      </c>
      <c r="S389" s="45" t="n"/>
      <c r="T389" s="44" t="n"/>
      <c r="U389" s="46" t="n"/>
      <c r="V389" s="44" t="n"/>
      <c r="W389" s="44" t="n"/>
      <c r="X389" s="44" t="n"/>
      <c r="Y389" s="41">
        <f>IF(B389="","",IF(S389&lt;&gt;"",S389,Settings!$B$4)-B389)</f>
        <v/>
      </c>
      <c r="Z389" s="41">
        <f>IF(B389="","",IF(S389&lt;&gt;"",IF(S389&gt;R389,"Closed late","Closed on time"),IF(Settings!$B$4&gt;R389,"Open: overdue","Open")))</f>
        <v/>
      </c>
      <c r="AA389" s="41">
        <f>IF(B389="","",IF(NETWORKDAYS(B389,C389)-1&gt;Settings!$B$5,"Logged late",IF(AND(L389="Escalated",M389=""),"Escalate to Compliance",IF(AND(L389="Escalated",N389=""),"Notify Sponsor Bank",IF(AND(L389="Escalated",N389&lt;&gt;"",NETWORKDAYS(B389,N389)-1&gt;Settings!$B$10),"Sponsor Bank notified late",IF(AND(K389&lt;&gt;"",K389&lt;&gt;"None",Q389=""),"Enter the legal deadline",IF(AND(S389&lt;&gt;"",OR(T389="",V389="")),"Record outcome and root cause",IF(AND(P389="",S389="",Settings!$B$4&gt;O389),"Acknowledgment overdue",""))))))))</f>
        <v/>
      </c>
    </row>
    <row r="390" ht="15.75" customHeight="1" s="31">
      <c r="A390" s="44" t="n"/>
      <c r="B390" s="45" t="n"/>
      <c r="C390" s="45" t="n"/>
      <c r="D390" s="44" t="n"/>
      <c r="E390" s="44" t="n"/>
      <c r="F390" s="44" t="n"/>
      <c r="G390" s="44" t="n"/>
      <c r="H390" s="44" t="n"/>
      <c r="I390" s="44" t="n"/>
      <c r="J390" s="44" t="n"/>
      <c r="K390" s="44" t="n"/>
      <c r="L390" s="41">
        <f>IF(B390="","",IF(OR(COUNTIF(Settings!$E$4:$E$9,D390)&gt;0,I390="Yes",J390="Yes",K390="Fair lending allegation"),"Escalated","Standard"))</f>
        <v/>
      </c>
      <c r="M390" s="45" t="n"/>
      <c r="N390" s="45" t="n"/>
      <c r="O390" s="42">
        <f>IF(B390="","",WORKDAY(B390,Settings!$B$7))</f>
        <v/>
      </c>
      <c r="P390" s="45" t="n"/>
      <c r="Q390" s="45" t="n"/>
      <c r="R390" s="42">
        <f>IF(B390="","",IF(Q390&lt;&gt;"",MIN(Q390,IF(L390="Escalated",B390+Settings!$B$9,WORKDAY(B390,Settings!$B$8))),IF(L390="Escalated",B390+Settings!$B$9,WORKDAY(B390,Settings!$B$8))))</f>
        <v/>
      </c>
      <c r="S390" s="45" t="n"/>
      <c r="T390" s="44" t="n"/>
      <c r="U390" s="46" t="n"/>
      <c r="V390" s="44" t="n"/>
      <c r="W390" s="44" t="n"/>
      <c r="X390" s="44" t="n"/>
      <c r="Y390" s="41">
        <f>IF(B390="","",IF(S390&lt;&gt;"",S390,Settings!$B$4)-B390)</f>
        <v/>
      </c>
      <c r="Z390" s="41">
        <f>IF(B390="","",IF(S390&lt;&gt;"",IF(S390&gt;R390,"Closed late","Closed on time"),IF(Settings!$B$4&gt;R390,"Open: overdue","Open")))</f>
        <v/>
      </c>
      <c r="AA390" s="41">
        <f>IF(B390="","",IF(NETWORKDAYS(B390,C390)-1&gt;Settings!$B$5,"Logged late",IF(AND(L390="Escalated",M390=""),"Escalate to Compliance",IF(AND(L390="Escalated",N390=""),"Notify Sponsor Bank",IF(AND(L390="Escalated",N390&lt;&gt;"",NETWORKDAYS(B390,N390)-1&gt;Settings!$B$10),"Sponsor Bank notified late",IF(AND(K390&lt;&gt;"",K390&lt;&gt;"None",Q390=""),"Enter the legal deadline",IF(AND(S390&lt;&gt;"",OR(T390="",V390="")),"Record outcome and root cause",IF(AND(P390="",S390="",Settings!$B$4&gt;O390),"Acknowledgment overdue",""))))))))</f>
        <v/>
      </c>
    </row>
    <row r="391" ht="15.75" customHeight="1" s="31">
      <c r="A391" s="44" t="n"/>
      <c r="B391" s="45" t="n"/>
      <c r="C391" s="45" t="n"/>
      <c r="D391" s="44" t="n"/>
      <c r="E391" s="44" t="n"/>
      <c r="F391" s="44" t="n"/>
      <c r="G391" s="44" t="n"/>
      <c r="H391" s="44" t="n"/>
      <c r="I391" s="44" t="n"/>
      <c r="J391" s="44" t="n"/>
      <c r="K391" s="44" t="n"/>
      <c r="L391" s="41">
        <f>IF(B391="","",IF(OR(COUNTIF(Settings!$E$4:$E$9,D391)&gt;0,I391="Yes",J391="Yes",K391="Fair lending allegation"),"Escalated","Standard"))</f>
        <v/>
      </c>
      <c r="M391" s="45" t="n"/>
      <c r="N391" s="45" t="n"/>
      <c r="O391" s="42">
        <f>IF(B391="","",WORKDAY(B391,Settings!$B$7))</f>
        <v/>
      </c>
      <c r="P391" s="45" t="n"/>
      <c r="Q391" s="45" t="n"/>
      <c r="R391" s="42">
        <f>IF(B391="","",IF(Q391&lt;&gt;"",MIN(Q391,IF(L391="Escalated",B391+Settings!$B$9,WORKDAY(B391,Settings!$B$8))),IF(L391="Escalated",B391+Settings!$B$9,WORKDAY(B391,Settings!$B$8))))</f>
        <v/>
      </c>
      <c r="S391" s="45" t="n"/>
      <c r="T391" s="44" t="n"/>
      <c r="U391" s="46" t="n"/>
      <c r="V391" s="44" t="n"/>
      <c r="W391" s="44" t="n"/>
      <c r="X391" s="44" t="n"/>
      <c r="Y391" s="41">
        <f>IF(B391="","",IF(S391&lt;&gt;"",S391,Settings!$B$4)-B391)</f>
        <v/>
      </c>
      <c r="Z391" s="41">
        <f>IF(B391="","",IF(S391&lt;&gt;"",IF(S391&gt;R391,"Closed late","Closed on time"),IF(Settings!$B$4&gt;R391,"Open: overdue","Open")))</f>
        <v/>
      </c>
      <c r="AA391" s="41">
        <f>IF(B391="","",IF(NETWORKDAYS(B391,C391)-1&gt;Settings!$B$5,"Logged late",IF(AND(L391="Escalated",M391=""),"Escalate to Compliance",IF(AND(L391="Escalated",N391=""),"Notify Sponsor Bank",IF(AND(L391="Escalated",N391&lt;&gt;"",NETWORKDAYS(B391,N391)-1&gt;Settings!$B$10),"Sponsor Bank notified late",IF(AND(K391&lt;&gt;"",K391&lt;&gt;"None",Q391=""),"Enter the legal deadline",IF(AND(S391&lt;&gt;"",OR(T391="",V391="")),"Record outcome and root cause",IF(AND(P391="",S391="",Settings!$B$4&gt;O391),"Acknowledgment overdue",""))))))))</f>
        <v/>
      </c>
    </row>
    <row r="392" ht="15.75" customHeight="1" s="31">
      <c r="A392" s="44" t="n"/>
      <c r="B392" s="45" t="n"/>
      <c r="C392" s="45" t="n"/>
      <c r="D392" s="44" t="n"/>
      <c r="E392" s="44" t="n"/>
      <c r="F392" s="44" t="n"/>
      <c r="G392" s="44" t="n"/>
      <c r="H392" s="44" t="n"/>
      <c r="I392" s="44" t="n"/>
      <c r="J392" s="44" t="n"/>
      <c r="K392" s="44" t="n"/>
      <c r="L392" s="41">
        <f>IF(B392="","",IF(OR(COUNTIF(Settings!$E$4:$E$9,D392)&gt;0,I392="Yes",J392="Yes",K392="Fair lending allegation"),"Escalated","Standard"))</f>
        <v/>
      </c>
      <c r="M392" s="45" t="n"/>
      <c r="N392" s="45" t="n"/>
      <c r="O392" s="42">
        <f>IF(B392="","",WORKDAY(B392,Settings!$B$7))</f>
        <v/>
      </c>
      <c r="P392" s="45" t="n"/>
      <c r="Q392" s="45" t="n"/>
      <c r="R392" s="42">
        <f>IF(B392="","",IF(Q392&lt;&gt;"",MIN(Q392,IF(L392="Escalated",B392+Settings!$B$9,WORKDAY(B392,Settings!$B$8))),IF(L392="Escalated",B392+Settings!$B$9,WORKDAY(B392,Settings!$B$8))))</f>
        <v/>
      </c>
      <c r="S392" s="45" t="n"/>
      <c r="T392" s="44" t="n"/>
      <c r="U392" s="46" t="n"/>
      <c r="V392" s="44" t="n"/>
      <c r="W392" s="44" t="n"/>
      <c r="X392" s="44" t="n"/>
      <c r="Y392" s="41">
        <f>IF(B392="","",IF(S392&lt;&gt;"",S392,Settings!$B$4)-B392)</f>
        <v/>
      </c>
      <c r="Z392" s="41">
        <f>IF(B392="","",IF(S392&lt;&gt;"",IF(S392&gt;R392,"Closed late","Closed on time"),IF(Settings!$B$4&gt;R392,"Open: overdue","Open")))</f>
        <v/>
      </c>
      <c r="AA392" s="41">
        <f>IF(B392="","",IF(NETWORKDAYS(B392,C392)-1&gt;Settings!$B$5,"Logged late",IF(AND(L392="Escalated",M392=""),"Escalate to Compliance",IF(AND(L392="Escalated",N392=""),"Notify Sponsor Bank",IF(AND(L392="Escalated",N392&lt;&gt;"",NETWORKDAYS(B392,N392)-1&gt;Settings!$B$10),"Sponsor Bank notified late",IF(AND(K392&lt;&gt;"",K392&lt;&gt;"None",Q392=""),"Enter the legal deadline",IF(AND(S392&lt;&gt;"",OR(T392="",V392="")),"Record outcome and root cause",IF(AND(P392="",S392="",Settings!$B$4&gt;O392),"Acknowledgment overdue",""))))))))</f>
        <v/>
      </c>
    </row>
    <row r="393" ht="15.75" customHeight="1" s="31">
      <c r="A393" s="44" t="n"/>
      <c r="B393" s="45" t="n"/>
      <c r="C393" s="45" t="n"/>
      <c r="D393" s="44" t="n"/>
      <c r="E393" s="44" t="n"/>
      <c r="F393" s="44" t="n"/>
      <c r="G393" s="44" t="n"/>
      <c r="H393" s="44" t="n"/>
      <c r="I393" s="44" t="n"/>
      <c r="J393" s="44" t="n"/>
      <c r="K393" s="44" t="n"/>
      <c r="L393" s="41">
        <f>IF(B393="","",IF(OR(COUNTIF(Settings!$E$4:$E$9,D393)&gt;0,I393="Yes",J393="Yes",K393="Fair lending allegation"),"Escalated","Standard"))</f>
        <v/>
      </c>
      <c r="M393" s="45" t="n"/>
      <c r="N393" s="45" t="n"/>
      <c r="O393" s="42">
        <f>IF(B393="","",WORKDAY(B393,Settings!$B$7))</f>
        <v/>
      </c>
      <c r="P393" s="45" t="n"/>
      <c r="Q393" s="45" t="n"/>
      <c r="R393" s="42">
        <f>IF(B393="","",IF(Q393&lt;&gt;"",MIN(Q393,IF(L393="Escalated",B393+Settings!$B$9,WORKDAY(B393,Settings!$B$8))),IF(L393="Escalated",B393+Settings!$B$9,WORKDAY(B393,Settings!$B$8))))</f>
        <v/>
      </c>
      <c r="S393" s="45" t="n"/>
      <c r="T393" s="44" t="n"/>
      <c r="U393" s="46" t="n"/>
      <c r="V393" s="44" t="n"/>
      <c r="W393" s="44" t="n"/>
      <c r="X393" s="44" t="n"/>
      <c r="Y393" s="41">
        <f>IF(B393="","",IF(S393&lt;&gt;"",S393,Settings!$B$4)-B393)</f>
        <v/>
      </c>
      <c r="Z393" s="41">
        <f>IF(B393="","",IF(S393&lt;&gt;"",IF(S393&gt;R393,"Closed late","Closed on time"),IF(Settings!$B$4&gt;R393,"Open: overdue","Open")))</f>
        <v/>
      </c>
      <c r="AA393" s="41">
        <f>IF(B393="","",IF(NETWORKDAYS(B393,C393)-1&gt;Settings!$B$5,"Logged late",IF(AND(L393="Escalated",M393=""),"Escalate to Compliance",IF(AND(L393="Escalated",N393=""),"Notify Sponsor Bank",IF(AND(L393="Escalated",N393&lt;&gt;"",NETWORKDAYS(B393,N393)-1&gt;Settings!$B$10),"Sponsor Bank notified late",IF(AND(K393&lt;&gt;"",K393&lt;&gt;"None",Q393=""),"Enter the legal deadline",IF(AND(S393&lt;&gt;"",OR(T393="",V393="")),"Record outcome and root cause",IF(AND(P393="",S393="",Settings!$B$4&gt;O393),"Acknowledgment overdue",""))))))))</f>
        <v/>
      </c>
    </row>
    <row r="394" ht="15.75" customHeight="1" s="31">
      <c r="A394" s="44" t="n"/>
      <c r="B394" s="45" t="n"/>
      <c r="C394" s="45" t="n"/>
      <c r="D394" s="44" t="n"/>
      <c r="E394" s="44" t="n"/>
      <c r="F394" s="44" t="n"/>
      <c r="G394" s="44" t="n"/>
      <c r="H394" s="44" t="n"/>
      <c r="I394" s="44" t="n"/>
      <c r="J394" s="44" t="n"/>
      <c r="K394" s="44" t="n"/>
      <c r="L394" s="41">
        <f>IF(B394="","",IF(OR(COUNTIF(Settings!$E$4:$E$9,D394)&gt;0,I394="Yes",J394="Yes",K394="Fair lending allegation"),"Escalated","Standard"))</f>
        <v/>
      </c>
      <c r="M394" s="45" t="n"/>
      <c r="N394" s="45" t="n"/>
      <c r="O394" s="42">
        <f>IF(B394="","",WORKDAY(B394,Settings!$B$7))</f>
        <v/>
      </c>
      <c r="P394" s="45" t="n"/>
      <c r="Q394" s="45" t="n"/>
      <c r="R394" s="42">
        <f>IF(B394="","",IF(Q394&lt;&gt;"",MIN(Q394,IF(L394="Escalated",B394+Settings!$B$9,WORKDAY(B394,Settings!$B$8))),IF(L394="Escalated",B394+Settings!$B$9,WORKDAY(B394,Settings!$B$8))))</f>
        <v/>
      </c>
      <c r="S394" s="45" t="n"/>
      <c r="T394" s="44" t="n"/>
      <c r="U394" s="46" t="n"/>
      <c r="V394" s="44" t="n"/>
      <c r="W394" s="44" t="n"/>
      <c r="X394" s="44" t="n"/>
      <c r="Y394" s="41">
        <f>IF(B394="","",IF(S394&lt;&gt;"",S394,Settings!$B$4)-B394)</f>
        <v/>
      </c>
      <c r="Z394" s="41">
        <f>IF(B394="","",IF(S394&lt;&gt;"",IF(S394&gt;R394,"Closed late","Closed on time"),IF(Settings!$B$4&gt;R394,"Open: overdue","Open")))</f>
        <v/>
      </c>
      <c r="AA394" s="41">
        <f>IF(B394="","",IF(NETWORKDAYS(B394,C394)-1&gt;Settings!$B$5,"Logged late",IF(AND(L394="Escalated",M394=""),"Escalate to Compliance",IF(AND(L394="Escalated",N394=""),"Notify Sponsor Bank",IF(AND(L394="Escalated",N394&lt;&gt;"",NETWORKDAYS(B394,N394)-1&gt;Settings!$B$10),"Sponsor Bank notified late",IF(AND(K394&lt;&gt;"",K394&lt;&gt;"None",Q394=""),"Enter the legal deadline",IF(AND(S394&lt;&gt;"",OR(T394="",V394="")),"Record outcome and root cause",IF(AND(P394="",S394="",Settings!$B$4&gt;O394),"Acknowledgment overdue",""))))))))</f>
        <v/>
      </c>
    </row>
    <row r="395" ht="15.75" customHeight="1" s="31">
      <c r="A395" s="44" t="n"/>
      <c r="B395" s="45" t="n"/>
      <c r="C395" s="45" t="n"/>
      <c r="D395" s="44" t="n"/>
      <c r="E395" s="44" t="n"/>
      <c r="F395" s="44" t="n"/>
      <c r="G395" s="44" t="n"/>
      <c r="H395" s="44" t="n"/>
      <c r="I395" s="44" t="n"/>
      <c r="J395" s="44" t="n"/>
      <c r="K395" s="44" t="n"/>
      <c r="L395" s="41">
        <f>IF(B395="","",IF(OR(COUNTIF(Settings!$E$4:$E$9,D395)&gt;0,I395="Yes",J395="Yes",K395="Fair lending allegation"),"Escalated","Standard"))</f>
        <v/>
      </c>
      <c r="M395" s="45" t="n"/>
      <c r="N395" s="45" t="n"/>
      <c r="O395" s="42">
        <f>IF(B395="","",WORKDAY(B395,Settings!$B$7))</f>
        <v/>
      </c>
      <c r="P395" s="45" t="n"/>
      <c r="Q395" s="45" t="n"/>
      <c r="R395" s="42">
        <f>IF(B395="","",IF(Q395&lt;&gt;"",MIN(Q395,IF(L395="Escalated",B395+Settings!$B$9,WORKDAY(B395,Settings!$B$8))),IF(L395="Escalated",B395+Settings!$B$9,WORKDAY(B395,Settings!$B$8))))</f>
        <v/>
      </c>
      <c r="S395" s="45" t="n"/>
      <c r="T395" s="44" t="n"/>
      <c r="U395" s="46" t="n"/>
      <c r="V395" s="44" t="n"/>
      <c r="W395" s="44" t="n"/>
      <c r="X395" s="44" t="n"/>
      <c r="Y395" s="41">
        <f>IF(B395="","",IF(S395&lt;&gt;"",S395,Settings!$B$4)-B395)</f>
        <v/>
      </c>
      <c r="Z395" s="41">
        <f>IF(B395="","",IF(S395&lt;&gt;"",IF(S395&gt;R395,"Closed late","Closed on time"),IF(Settings!$B$4&gt;R395,"Open: overdue","Open")))</f>
        <v/>
      </c>
      <c r="AA395" s="41">
        <f>IF(B395="","",IF(NETWORKDAYS(B395,C395)-1&gt;Settings!$B$5,"Logged late",IF(AND(L395="Escalated",M395=""),"Escalate to Compliance",IF(AND(L395="Escalated",N395=""),"Notify Sponsor Bank",IF(AND(L395="Escalated",N395&lt;&gt;"",NETWORKDAYS(B395,N395)-1&gt;Settings!$B$10),"Sponsor Bank notified late",IF(AND(K395&lt;&gt;"",K395&lt;&gt;"None",Q395=""),"Enter the legal deadline",IF(AND(S395&lt;&gt;"",OR(T395="",V395="")),"Record outcome and root cause",IF(AND(P395="",S395="",Settings!$B$4&gt;O395),"Acknowledgment overdue",""))))))))</f>
        <v/>
      </c>
    </row>
    <row r="396" ht="15.75" customHeight="1" s="31">
      <c r="A396" s="44" t="n"/>
      <c r="B396" s="45" t="n"/>
      <c r="C396" s="45" t="n"/>
      <c r="D396" s="44" t="n"/>
      <c r="E396" s="44" t="n"/>
      <c r="F396" s="44" t="n"/>
      <c r="G396" s="44" t="n"/>
      <c r="H396" s="44" t="n"/>
      <c r="I396" s="44" t="n"/>
      <c r="J396" s="44" t="n"/>
      <c r="K396" s="44" t="n"/>
      <c r="L396" s="41">
        <f>IF(B396="","",IF(OR(COUNTIF(Settings!$E$4:$E$9,D396)&gt;0,I396="Yes",J396="Yes",K396="Fair lending allegation"),"Escalated","Standard"))</f>
        <v/>
      </c>
      <c r="M396" s="45" t="n"/>
      <c r="N396" s="45" t="n"/>
      <c r="O396" s="42">
        <f>IF(B396="","",WORKDAY(B396,Settings!$B$7))</f>
        <v/>
      </c>
      <c r="P396" s="45" t="n"/>
      <c r="Q396" s="45" t="n"/>
      <c r="R396" s="42">
        <f>IF(B396="","",IF(Q396&lt;&gt;"",MIN(Q396,IF(L396="Escalated",B396+Settings!$B$9,WORKDAY(B396,Settings!$B$8))),IF(L396="Escalated",B396+Settings!$B$9,WORKDAY(B396,Settings!$B$8))))</f>
        <v/>
      </c>
      <c r="S396" s="45" t="n"/>
      <c r="T396" s="44" t="n"/>
      <c r="U396" s="46" t="n"/>
      <c r="V396" s="44" t="n"/>
      <c r="W396" s="44" t="n"/>
      <c r="X396" s="44" t="n"/>
      <c r="Y396" s="41">
        <f>IF(B396="","",IF(S396&lt;&gt;"",S396,Settings!$B$4)-B396)</f>
        <v/>
      </c>
      <c r="Z396" s="41">
        <f>IF(B396="","",IF(S396&lt;&gt;"",IF(S396&gt;R396,"Closed late","Closed on time"),IF(Settings!$B$4&gt;R396,"Open: overdue","Open")))</f>
        <v/>
      </c>
      <c r="AA396" s="41">
        <f>IF(B396="","",IF(NETWORKDAYS(B396,C396)-1&gt;Settings!$B$5,"Logged late",IF(AND(L396="Escalated",M396=""),"Escalate to Compliance",IF(AND(L396="Escalated",N396=""),"Notify Sponsor Bank",IF(AND(L396="Escalated",N396&lt;&gt;"",NETWORKDAYS(B396,N396)-1&gt;Settings!$B$10),"Sponsor Bank notified late",IF(AND(K396&lt;&gt;"",K396&lt;&gt;"None",Q396=""),"Enter the legal deadline",IF(AND(S396&lt;&gt;"",OR(T396="",V396="")),"Record outcome and root cause",IF(AND(P396="",S396="",Settings!$B$4&gt;O396),"Acknowledgment overdue",""))))))))</f>
        <v/>
      </c>
    </row>
    <row r="397" ht="15.75" customHeight="1" s="31">
      <c r="A397" s="44" t="n"/>
      <c r="B397" s="45" t="n"/>
      <c r="C397" s="45" t="n"/>
      <c r="D397" s="44" t="n"/>
      <c r="E397" s="44" t="n"/>
      <c r="F397" s="44" t="n"/>
      <c r="G397" s="44" t="n"/>
      <c r="H397" s="44" t="n"/>
      <c r="I397" s="44" t="n"/>
      <c r="J397" s="44" t="n"/>
      <c r="K397" s="44" t="n"/>
      <c r="L397" s="41">
        <f>IF(B397="","",IF(OR(COUNTIF(Settings!$E$4:$E$9,D397)&gt;0,I397="Yes",J397="Yes",K397="Fair lending allegation"),"Escalated","Standard"))</f>
        <v/>
      </c>
      <c r="M397" s="45" t="n"/>
      <c r="N397" s="45" t="n"/>
      <c r="O397" s="42">
        <f>IF(B397="","",WORKDAY(B397,Settings!$B$7))</f>
        <v/>
      </c>
      <c r="P397" s="45" t="n"/>
      <c r="Q397" s="45" t="n"/>
      <c r="R397" s="42">
        <f>IF(B397="","",IF(Q397&lt;&gt;"",MIN(Q397,IF(L397="Escalated",B397+Settings!$B$9,WORKDAY(B397,Settings!$B$8))),IF(L397="Escalated",B397+Settings!$B$9,WORKDAY(B397,Settings!$B$8))))</f>
        <v/>
      </c>
      <c r="S397" s="45" t="n"/>
      <c r="T397" s="44" t="n"/>
      <c r="U397" s="46" t="n"/>
      <c r="V397" s="44" t="n"/>
      <c r="W397" s="44" t="n"/>
      <c r="X397" s="44" t="n"/>
      <c r="Y397" s="41">
        <f>IF(B397="","",IF(S397&lt;&gt;"",S397,Settings!$B$4)-B397)</f>
        <v/>
      </c>
      <c r="Z397" s="41">
        <f>IF(B397="","",IF(S397&lt;&gt;"",IF(S397&gt;R397,"Closed late","Closed on time"),IF(Settings!$B$4&gt;R397,"Open: overdue","Open")))</f>
        <v/>
      </c>
      <c r="AA397" s="41">
        <f>IF(B397="","",IF(NETWORKDAYS(B397,C397)-1&gt;Settings!$B$5,"Logged late",IF(AND(L397="Escalated",M397=""),"Escalate to Compliance",IF(AND(L397="Escalated",N397=""),"Notify Sponsor Bank",IF(AND(L397="Escalated",N397&lt;&gt;"",NETWORKDAYS(B397,N397)-1&gt;Settings!$B$10),"Sponsor Bank notified late",IF(AND(K397&lt;&gt;"",K397&lt;&gt;"None",Q397=""),"Enter the legal deadline",IF(AND(S397&lt;&gt;"",OR(T397="",V397="")),"Record outcome and root cause",IF(AND(P397="",S397="",Settings!$B$4&gt;O397),"Acknowledgment overdue",""))))))))</f>
        <v/>
      </c>
    </row>
    <row r="398" ht="15.75" customHeight="1" s="31">
      <c r="A398" s="44" t="n"/>
      <c r="B398" s="45" t="n"/>
      <c r="C398" s="45" t="n"/>
      <c r="D398" s="44" t="n"/>
      <c r="E398" s="44" t="n"/>
      <c r="F398" s="44" t="n"/>
      <c r="G398" s="44" t="n"/>
      <c r="H398" s="44" t="n"/>
      <c r="I398" s="44" t="n"/>
      <c r="J398" s="44" t="n"/>
      <c r="K398" s="44" t="n"/>
      <c r="L398" s="41">
        <f>IF(B398="","",IF(OR(COUNTIF(Settings!$E$4:$E$9,D398)&gt;0,I398="Yes",J398="Yes",K398="Fair lending allegation"),"Escalated","Standard"))</f>
        <v/>
      </c>
      <c r="M398" s="45" t="n"/>
      <c r="N398" s="45" t="n"/>
      <c r="O398" s="42">
        <f>IF(B398="","",WORKDAY(B398,Settings!$B$7))</f>
        <v/>
      </c>
      <c r="P398" s="45" t="n"/>
      <c r="Q398" s="45" t="n"/>
      <c r="R398" s="42">
        <f>IF(B398="","",IF(Q398&lt;&gt;"",MIN(Q398,IF(L398="Escalated",B398+Settings!$B$9,WORKDAY(B398,Settings!$B$8))),IF(L398="Escalated",B398+Settings!$B$9,WORKDAY(B398,Settings!$B$8))))</f>
        <v/>
      </c>
      <c r="S398" s="45" t="n"/>
      <c r="T398" s="44" t="n"/>
      <c r="U398" s="46" t="n"/>
      <c r="V398" s="44" t="n"/>
      <c r="W398" s="44" t="n"/>
      <c r="X398" s="44" t="n"/>
      <c r="Y398" s="41">
        <f>IF(B398="","",IF(S398&lt;&gt;"",S398,Settings!$B$4)-B398)</f>
        <v/>
      </c>
      <c r="Z398" s="41">
        <f>IF(B398="","",IF(S398&lt;&gt;"",IF(S398&gt;R398,"Closed late","Closed on time"),IF(Settings!$B$4&gt;R398,"Open: overdue","Open")))</f>
        <v/>
      </c>
      <c r="AA398" s="41">
        <f>IF(B398="","",IF(NETWORKDAYS(B398,C398)-1&gt;Settings!$B$5,"Logged late",IF(AND(L398="Escalated",M398=""),"Escalate to Compliance",IF(AND(L398="Escalated",N398=""),"Notify Sponsor Bank",IF(AND(L398="Escalated",N398&lt;&gt;"",NETWORKDAYS(B398,N398)-1&gt;Settings!$B$10),"Sponsor Bank notified late",IF(AND(K398&lt;&gt;"",K398&lt;&gt;"None",Q398=""),"Enter the legal deadline",IF(AND(S398&lt;&gt;"",OR(T398="",V398="")),"Record outcome and root cause",IF(AND(P398="",S398="",Settings!$B$4&gt;O398),"Acknowledgment overdue",""))))))))</f>
        <v/>
      </c>
    </row>
    <row r="399" ht="15.75" customHeight="1" s="31">
      <c r="A399" s="44" t="n"/>
      <c r="B399" s="45" t="n"/>
      <c r="C399" s="45" t="n"/>
      <c r="D399" s="44" t="n"/>
      <c r="E399" s="44" t="n"/>
      <c r="F399" s="44" t="n"/>
      <c r="G399" s="44" t="n"/>
      <c r="H399" s="44" t="n"/>
      <c r="I399" s="44" t="n"/>
      <c r="J399" s="44" t="n"/>
      <c r="K399" s="44" t="n"/>
      <c r="L399" s="41">
        <f>IF(B399="","",IF(OR(COUNTIF(Settings!$E$4:$E$9,D399)&gt;0,I399="Yes",J399="Yes",K399="Fair lending allegation"),"Escalated","Standard"))</f>
        <v/>
      </c>
      <c r="M399" s="45" t="n"/>
      <c r="N399" s="45" t="n"/>
      <c r="O399" s="42">
        <f>IF(B399="","",WORKDAY(B399,Settings!$B$7))</f>
        <v/>
      </c>
      <c r="P399" s="45" t="n"/>
      <c r="Q399" s="45" t="n"/>
      <c r="R399" s="42">
        <f>IF(B399="","",IF(Q399&lt;&gt;"",MIN(Q399,IF(L399="Escalated",B399+Settings!$B$9,WORKDAY(B399,Settings!$B$8))),IF(L399="Escalated",B399+Settings!$B$9,WORKDAY(B399,Settings!$B$8))))</f>
        <v/>
      </c>
      <c r="S399" s="45" t="n"/>
      <c r="T399" s="44" t="n"/>
      <c r="U399" s="46" t="n"/>
      <c r="V399" s="44" t="n"/>
      <c r="W399" s="44" t="n"/>
      <c r="X399" s="44" t="n"/>
      <c r="Y399" s="41">
        <f>IF(B399="","",IF(S399&lt;&gt;"",S399,Settings!$B$4)-B399)</f>
        <v/>
      </c>
      <c r="Z399" s="41">
        <f>IF(B399="","",IF(S399&lt;&gt;"",IF(S399&gt;R399,"Closed late","Closed on time"),IF(Settings!$B$4&gt;R399,"Open: overdue","Open")))</f>
        <v/>
      </c>
      <c r="AA399" s="41">
        <f>IF(B399="","",IF(NETWORKDAYS(B399,C399)-1&gt;Settings!$B$5,"Logged late",IF(AND(L399="Escalated",M399=""),"Escalate to Compliance",IF(AND(L399="Escalated",N399=""),"Notify Sponsor Bank",IF(AND(L399="Escalated",N399&lt;&gt;"",NETWORKDAYS(B399,N399)-1&gt;Settings!$B$10),"Sponsor Bank notified late",IF(AND(K399&lt;&gt;"",K399&lt;&gt;"None",Q399=""),"Enter the legal deadline",IF(AND(S399&lt;&gt;"",OR(T399="",V399="")),"Record outcome and root cause",IF(AND(P399="",S399="",Settings!$B$4&gt;O399),"Acknowledgment overdue",""))))))))</f>
        <v/>
      </c>
    </row>
    <row r="400" ht="15.75" customHeight="1" s="31">
      <c r="A400" s="44" t="n"/>
      <c r="B400" s="45" t="n"/>
      <c r="C400" s="45" t="n"/>
      <c r="D400" s="44" t="n"/>
      <c r="E400" s="44" t="n"/>
      <c r="F400" s="44" t="n"/>
      <c r="G400" s="44" t="n"/>
      <c r="H400" s="44" t="n"/>
      <c r="I400" s="44" t="n"/>
      <c r="J400" s="44" t="n"/>
      <c r="K400" s="44" t="n"/>
      <c r="L400" s="41">
        <f>IF(B400="","",IF(OR(COUNTIF(Settings!$E$4:$E$9,D400)&gt;0,I400="Yes",J400="Yes",K400="Fair lending allegation"),"Escalated","Standard"))</f>
        <v/>
      </c>
      <c r="M400" s="45" t="n"/>
      <c r="N400" s="45" t="n"/>
      <c r="O400" s="42">
        <f>IF(B400="","",WORKDAY(B400,Settings!$B$7))</f>
        <v/>
      </c>
      <c r="P400" s="45" t="n"/>
      <c r="Q400" s="45" t="n"/>
      <c r="R400" s="42">
        <f>IF(B400="","",IF(Q400&lt;&gt;"",MIN(Q400,IF(L400="Escalated",B400+Settings!$B$9,WORKDAY(B400,Settings!$B$8))),IF(L400="Escalated",B400+Settings!$B$9,WORKDAY(B400,Settings!$B$8))))</f>
        <v/>
      </c>
      <c r="S400" s="45" t="n"/>
      <c r="T400" s="44" t="n"/>
      <c r="U400" s="46" t="n"/>
      <c r="V400" s="44" t="n"/>
      <c r="W400" s="44" t="n"/>
      <c r="X400" s="44" t="n"/>
      <c r="Y400" s="41">
        <f>IF(B400="","",IF(S400&lt;&gt;"",S400,Settings!$B$4)-B400)</f>
        <v/>
      </c>
      <c r="Z400" s="41">
        <f>IF(B400="","",IF(S400&lt;&gt;"",IF(S400&gt;R400,"Closed late","Closed on time"),IF(Settings!$B$4&gt;R400,"Open: overdue","Open")))</f>
        <v/>
      </c>
      <c r="AA400" s="41">
        <f>IF(B400="","",IF(NETWORKDAYS(B400,C400)-1&gt;Settings!$B$5,"Logged late",IF(AND(L400="Escalated",M400=""),"Escalate to Compliance",IF(AND(L400="Escalated",N400=""),"Notify Sponsor Bank",IF(AND(L400="Escalated",N400&lt;&gt;"",NETWORKDAYS(B400,N400)-1&gt;Settings!$B$10),"Sponsor Bank notified late",IF(AND(K400&lt;&gt;"",K400&lt;&gt;"None",Q400=""),"Enter the legal deadline",IF(AND(S400&lt;&gt;"",OR(T400="",V400="")),"Record outcome and root cause",IF(AND(P400="",S400="",Settings!$B$4&gt;O400),"Acknowledgment overdue",""))))))))</f>
        <v/>
      </c>
    </row>
    <row r="401" ht="15.75" customHeight="1" s="31">
      <c r="A401" s="44" t="n"/>
      <c r="B401" s="45" t="n"/>
      <c r="C401" s="45" t="n"/>
      <c r="D401" s="44" t="n"/>
      <c r="E401" s="44" t="n"/>
      <c r="F401" s="44" t="n"/>
      <c r="G401" s="44" t="n"/>
      <c r="H401" s="44" t="n"/>
      <c r="I401" s="44" t="n"/>
      <c r="J401" s="44" t="n"/>
      <c r="K401" s="44" t="n"/>
      <c r="L401" s="41">
        <f>IF(B401="","",IF(OR(COUNTIF(Settings!$E$4:$E$9,D401)&gt;0,I401="Yes",J401="Yes",K401="Fair lending allegation"),"Escalated","Standard"))</f>
        <v/>
      </c>
      <c r="M401" s="45" t="n"/>
      <c r="N401" s="45" t="n"/>
      <c r="O401" s="42">
        <f>IF(B401="","",WORKDAY(B401,Settings!$B$7))</f>
        <v/>
      </c>
      <c r="P401" s="45" t="n"/>
      <c r="Q401" s="45" t="n"/>
      <c r="R401" s="42">
        <f>IF(B401="","",IF(Q401&lt;&gt;"",MIN(Q401,IF(L401="Escalated",B401+Settings!$B$9,WORKDAY(B401,Settings!$B$8))),IF(L401="Escalated",B401+Settings!$B$9,WORKDAY(B401,Settings!$B$8))))</f>
        <v/>
      </c>
      <c r="S401" s="45" t="n"/>
      <c r="T401" s="44" t="n"/>
      <c r="U401" s="46" t="n"/>
      <c r="V401" s="44" t="n"/>
      <c r="W401" s="44" t="n"/>
      <c r="X401" s="44" t="n"/>
      <c r="Y401" s="41">
        <f>IF(B401="","",IF(S401&lt;&gt;"",S401,Settings!$B$4)-B401)</f>
        <v/>
      </c>
      <c r="Z401" s="41">
        <f>IF(B401="","",IF(S401&lt;&gt;"",IF(S401&gt;R401,"Closed late","Closed on time"),IF(Settings!$B$4&gt;R401,"Open: overdue","Open")))</f>
        <v/>
      </c>
      <c r="AA401" s="41">
        <f>IF(B401="","",IF(NETWORKDAYS(B401,C401)-1&gt;Settings!$B$5,"Logged late",IF(AND(L401="Escalated",M401=""),"Escalate to Compliance",IF(AND(L401="Escalated",N401=""),"Notify Sponsor Bank",IF(AND(L401="Escalated",N401&lt;&gt;"",NETWORKDAYS(B401,N401)-1&gt;Settings!$B$10),"Sponsor Bank notified late",IF(AND(K401&lt;&gt;"",K401&lt;&gt;"None",Q401=""),"Enter the legal deadline",IF(AND(S401&lt;&gt;"",OR(T401="",V401="")),"Record outcome and root cause",IF(AND(P401="",S401="",Settings!$B$4&gt;O401),"Acknowledgment overdue",""))))))))</f>
        <v/>
      </c>
    </row>
    <row r="402" ht="15.75" customHeight="1" s="31">
      <c r="A402" s="44" t="n"/>
      <c r="B402" s="45" t="n"/>
      <c r="C402" s="45" t="n"/>
      <c r="D402" s="44" t="n"/>
      <c r="E402" s="44" t="n"/>
      <c r="F402" s="44" t="n"/>
      <c r="G402" s="44" t="n"/>
      <c r="H402" s="44" t="n"/>
      <c r="I402" s="44" t="n"/>
      <c r="J402" s="44" t="n"/>
      <c r="K402" s="44" t="n"/>
      <c r="L402" s="41">
        <f>IF(B402="","",IF(OR(COUNTIF(Settings!$E$4:$E$9,D402)&gt;0,I402="Yes",J402="Yes",K402="Fair lending allegation"),"Escalated","Standard"))</f>
        <v/>
      </c>
      <c r="M402" s="45" t="n"/>
      <c r="N402" s="45" t="n"/>
      <c r="O402" s="42">
        <f>IF(B402="","",WORKDAY(B402,Settings!$B$7))</f>
        <v/>
      </c>
      <c r="P402" s="45" t="n"/>
      <c r="Q402" s="45" t="n"/>
      <c r="R402" s="42">
        <f>IF(B402="","",IF(Q402&lt;&gt;"",MIN(Q402,IF(L402="Escalated",B402+Settings!$B$9,WORKDAY(B402,Settings!$B$8))),IF(L402="Escalated",B402+Settings!$B$9,WORKDAY(B402,Settings!$B$8))))</f>
        <v/>
      </c>
      <c r="S402" s="45" t="n"/>
      <c r="T402" s="44" t="n"/>
      <c r="U402" s="46" t="n"/>
      <c r="V402" s="44" t="n"/>
      <c r="W402" s="44" t="n"/>
      <c r="X402" s="44" t="n"/>
      <c r="Y402" s="41">
        <f>IF(B402="","",IF(S402&lt;&gt;"",S402,Settings!$B$4)-B402)</f>
        <v/>
      </c>
      <c r="Z402" s="41">
        <f>IF(B402="","",IF(S402&lt;&gt;"",IF(S402&gt;R402,"Closed late","Closed on time"),IF(Settings!$B$4&gt;R402,"Open: overdue","Open")))</f>
        <v/>
      </c>
      <c r="AA402" s="41">
        <f>IF(B402="","",IF(NETWORKDAYS(B402,C402)-1&gt;Settings!$B$5,"Logged late",IF(AND(L402="Escalated",M402=""),"Escalate to Compliance",IF(AND(L402="Escalated",N402=""),"Notify Sponsor Bank",IF(AND(L402="Escalated",N402&lt;&gt;"",NETWORKDAYS(B402,N402)-1&gt;Settings!$B$10),"Sponsor Bank notified late",IF(AND(K402&lt;&gt;"",K402&lt;&gt;"None",Q402=""),"Enter the legal deadline",IF(AND(S402&lt;&gt;"",OR(T402="",V402="")),"Record outcome and root cause",IF(AND(P402="",S402="",Settings!$B$4&gt;O402),"Acknowledgment overdue",""))))))))</f>
        <v/>
      </c>
    </row>
    <row r="403" ht="15.75" customHeight="1" s="31">
      <c r="A403" s="44" t="n"/>
      <c r="B403" s="45" t="n"/>
      <c r="C403" s="45" t="n"/>
      <c r="D403" s="44" t="n"/>
      <c r="E403" s="44" t="n"/>
      <c r="F403" s="44" t="n"/>
      <c r="G403" s="44" t="n"/>
      <c r="H403" s="44" t="n"/>
      <c r="I403" s="44" t="n"/>
      <c r="J403" s="44" t="n"/>
      <c r="K403" s="44" t="n"/>
      <c r="L403" s="41">
        <f>IF(B403="","",IF(OR(COUNTIF(Settings!$E$4:$E$9,D403)&gt;0,I403="Yes",J403="Yes",K403="Fair lending allegation"),"Escalated","Standard"))</f>
        <v/>
      </c>
      <c r="M403" s="45" t="n"/>
      <c r="N403" s="45" t="n"/>
      <c r="O403" s="42">
        <f>IF(B403="","",WORKDAY(B403,Settings!$B$7))</f>
        <v/>
      </c>
      <c r="P403" s="45" t="n"/>
      <c r="Q403" s="45" t="n"/>
      <c r="R403" s="42">
        <f>IF(B403="","",IF(Q403&lt;&gt;"",MIN(Q403,IF(L403="Escalated",B403+Settings!$B$9,WORKDAY(B403,Settings!$B$8))),IF(L403="Escalated",B403+Settings!$B$9,WORKDAY(B403,Settings!$B$8))))</f>
        <v/>
      </c>
      <c r="S403" s="45" t="n"/>
      <c r="T403" s="44" t="n"/>
      <c r="U403" s="46" t="n"/>
      <c r="V403" s="44" t="n"/>
      <c r="W403" s="44" t="n"/>
      <c r="X403" s="44" t="n"/>
      <c r="Y403" s="41">
        <f>IF(B403="","",IF(S403&lt;&gt;"",S403,Settings!$B$4)-B403)</f>
        <v/>
      </c>
      <c r="Z403" s="41">
        <f>IF(B403="","",IF(S403&lt;&gt;"",IF(S403&gt;R403,"Closed late","Closed on time"),IF(Settings!$B$4&gt;R403,"Open: overdue","Open")))</f>
        <v/>
      </c>
      <c r="AA403" s="41">
        <f>IF(B403="","",IF(NETWORKDAYS(B403,C403)-1&gt;Settings!$B$5,"Logged late",IF(AND(L403="Escalated",M403=""),"Escalate to Compliance",IF(AND(L403="Escalated",N403=""),"Notify Sponsor Bank",IF(AND(L403="Escalated",N403&lt;&gt;"",NETWORKDAYS(B403,N403)-1&gt;Settings!$B$10),"Sponsor Bank notified late",IF(AND(K403&lt;&gt;"",K403&lt;&gt;"None",Q403=""),"Enter the legal deadline",IF(AND(S403&lt;&gt;"",OR(T403="",V403="")),"Record outcome and root cause",IF(AND(P403="",S403="",Settings!$B$4&gt;O403),"Acknowledgment overdue",""))))))))</f>
        <v/>
      </c>
    </row>
    <row r="404" ht="15.75" customHeight="1" s="31">
      <c r="A404" s="44" t="n"/>
      <c r="B404" s="45" t="n"/>
      <c r="C404" s="45" t="n"/>
      <c r="D404" s="44" t="n"/>
      <c r="E404" s="44" t="n"/>
      <c r="F404" s="44" t="n"/>
      <c r="G404" s="44" t="n"/>
      <c r="H404" s="44" t="n"/>
      <c r="I404" s="44" t="n"/>
      <c r="J404" s="44" t="n"/>
      <c r="K404" s="44" t="n"/>
      <c r="L404" s="41">
        <f>IF(B404="","",IF(OR(COUNTIF(Settings!$E$4:$E$9,D404)&gt;0,I404="Yes",J404="Yes",K404="Fair lending allegation"),"Escalated","Standard"))</f>
        <v/>
      </c>
      <c r="M404" s="45" t="n"/>
      <c r="N404" s="45" t="n"/>
      <c r="O404" s="42">
        <f>IF(B404="","",WORKDAY(B404,Settings!$B$7))</f>
        <v/>
      </c>
      <c r="P404" s="45" t="n"/>
      <c r="Q404" s="45" t="n"/>
      <c r="R404" s="42">
        <f>IF(B404="","",IF(Q404&lt;&gt;"",MIN(Q404,IF(L404="Escalated",B404+Settings!$B$9,WORKDAY(B404,Settings!$B$8))),IF(L404="Escalated",B404+Settings!$B$9,WORKDAY(B404,Settings!$B$8))))</f>
        <v/>
      </c>
      <c r="S404" s="45" t="n"/>
      <c r="T404" s="44" t="n"/>
      <c r="U404" s="46" t="n"/>
      <c r="V404" s="44" t="n"/>
      <c r="W404" s="44" t="n"/>
      <c r="X404" s="44" t="n"/>
      <c r="Y404" s="41">
        <f>IF(B404="","",IF(S404&lt;&gt;"",S404,Settings!$B$4)-B404)</f>
        <v/>
      </c>
      <c r="Z404" s="41">
        <f>IF(B404="","",IF(S404&lt;&gt;"",IF(S404&gt;R404,"Closed late","Closed on time"),IF(Settings!$B$4&gt;R404,"Open: overdue","Open")))</f>
        <v/>
      </c>
      <c r="AA404" s="41">
        <f>IF(B404="","",IF(NETWORKDAYS(B404,C404)-1&gt;Settings!$B$5,"Logged late",IF(AND(L404="Escalated",M404=""),"Escalate to Compliance",IF(AND(L404="Escalated",N404=""),"Notify Sponsor Bank",IF(AND(L404="Escalated",N404&lt;&gt;"",NETWORKDAYS(B404,N404)-1&gt;Settings!$B$10),"Sponsor Bank notified late",IF(AND(K404&lt;&gt;"",K404&lt;&gt;"None",Q404=""),"Enter the legal deadline",IF(AND(S404&lt;&gt;"",OR(T404="",V404="")),"Record outcome and root cause",IF(AND(P404="",S404="",Settings!$B$4&gt;O404),"Acknowledgment overdue",""))))))))</f>
        <v/>
      </c>
    </row>
    <row r="405" ht="15.75" customHeight="1" s="31">
      <c r="A405" s="44" t="n"/>
      <c r="B405" s="45" t="n"/>
      <c r="C405" s="45" t="n"/>
      <c r="D405" s="44" t="n"/>
      <c r="E405" s="44" t="n"/>
      <c r="F405" s="44" t="n"/>
      <c r="G405" s="44" t="n"/>
      <c r="H405" s="44" t="n"/>
      <c r="I405" s="44" t="n"/>
      <c r="J405" s="44" t="n"/>
      <c r="K405" s="44" t="n"/>
      <c r="L405" s="41">
        <f>IF(B405="","",IF(OR(COUNTIF(Settings!$E$4:$E$9,D405)&gt;0,I405="Yes",J405="Yes",K405="Fair lending allegation"),"Escalated","Standard"))</f>
        <v/>
      </c>
      <c r="M405" s="45" t="n"/>
      <c r="N405" s="45" t="n"/>
      <c r="O405" s="42">
        <f>IF(B405="","",WORKDAY(B405,Settings!$B$7))</f>
        <v/>
      </c>
      <c r="P405" s="45" t="n"/>
      <c r="Q405" s="45" t="n"/>
      <c r="R405" s="42">
        <f>IF(B405="","",IF(Q405&lt;&gt;"",MIN(Q405,IF(L405="Escalated",B405+Settings!$B$9,WORKDAY(B405,Settings!$B$8))),IF(L405="Escalated",B405+Settings!$B$9,WORKDAY(B405,Settings!$B$8))))</f>
        <v/>
      </c>
      <c r="S405" s="45" t="n"/>
      <c r="T405" s="44" t="n"/>
      <c r="U405" s="46" t="n"/>
      <c r="V405" s="44" t="n"/>
      <c r="W405" s="44" t="n"/>
      <c r="X405" s="44" t="n"/>
      <c r="Y405" s="41">
        <f>IF(B405="","",IF(S405&lt;&gt;"",S405,Settings!$B$4)-B405)</f>
        <v/>
      </c>
      <c r="Z405" s="41">
        <f>IF(B405="","",IF(S405&lt;&gt;"",IF(S405&gt;R405,"Closed late","Closed on time"),IF(Settings!$B$4&gt;R405,"Open: overdue","Open")))</f>
        <v/>
      </c>
      <c r="AA405" s="41">
        <f>IF(B405="","",IF(NETWORKDAYS(B405,C405)-1&gt;Settings!$B$5,"Logged late",IF(AND(L405="Escalated",M405=""),"Escalate to Compliance",IF(AND(L405="Escalated",N405=""),"Notify Sponsor Bank",IF(AND(L405="Escalated",N405&lt;&gt;"",NETWORKDAYS(B405,N405)-1&gt;Settings!$B$10),"Sponsor Bank notified late",IF(AND(K405&lt;&gt;"",K405&lt;&gt;"None",Q405=""),"Enter the legal deadline",IF(AND(S405&lt;&gt;"",OR(T405="",V405="")),"Record outcome and root cause",IF(AND(P405="",S405="",Settings!$B$4&gt;O405),"Acknowledgment overdue",""))))))))</f>
        <v/>
      </c>
    </row>
    <row r="406" ht="15.75" customHeight="1" s="31">
      <c r="A406" s="44" t="n"/>
      <c r="B406" s="45" t="n"/>
      <c r="C406" s="45" t="n"/>
      <c r="D406" s="44" t="n"/>
      <c r="E406" s="44" t="n"/>
      <c r="F406" s="44" t="n"/>
      <c r="G406" s="44" t="n"/>
      <c r="H406" s="44" t="n"/>
      <c r="I406" s="44" t="n"/>
      <c r="J406" s="44" t="n"/>
      <c r="K406" s="44" t="n"/>
      <c r="L406" s="41">
        <f>IF(B406="","",IF(OR(COUNTIF(Settings!$E$4:$E$9,D406)&gt;0,I406="Yes",J406="Yes",K406="Fair lending allegation"),"Escalated","Standard"))</f>
        <v/>
      </c>
      <c r="M406" s="45" t="n"/>
      <c r="N406" s="45" t="n"/>
      <c r="O406" s="42">
        <f>IF(B406="","",WORKDAY(B406,Settings!$B$7))</f>
        <v/>
      </c>
      <c r="P406" s="45" t="n"/>
      <c r="Q406" s="45" t="n"/>
      <c r="R406" s="42">
        <f>IF(B406="","",IF(Q406&lt;&gt;"",MIN(Q406,IF(L406="Escalated",B406+Settings!$B$9,WORKDAY(B406,Settings!$B$8))),IF(L406="Escalated",B406+Settings!$B$9,WORKDAY(B406,Settings!$B$8))))</f>
        <v/>
      </c>
      <c r="S406" s="45" t="n"/>
      <c r="T406" s="44" t="n"/>
      <c r="U406" s="46" t="n"/>
      <c r="V406" s="44" t="n"/>
      <c r="W406" s="44" t="n"/>
      <c r="X406" s="44" t="n"/>
      <c r="Y406" s="41">
        <f>IF(B406="","",IF(S406&lt;&gt;"",S406,Settings!$B$4)-B406)</f>
        <v/>
      </c>
      <c r="Z406" s="41">
        <f>IF(B406="","",IF(S406&lt;&gt;"",IF(S406&gt;R406,"Closed late","Closed on time"),IF(Settings!$B$4&gt;R406,"Open: overdue","Open")))</f>
        <v/>
      </c>
      <c r="AA406" s="41">
        <f>IF(B406="","",IF(NETWORKDAYS(B406,C406)-1&gt;Settings!$B$5,"Logged late",IF(AND(L406="Escalated",M406=""),"Escalate to Compliance",IF(AND(L406="Escalated",N406=""),"Notify Sponsor Bank",IF(AND(L406="Escalated",N406&lt;&gt;"",NETWORKDAYS(B406,N406)-1&gt;Settings!$B$10),"Sponsor Bank notified late",IF(AND(K406&lt;&gt;"",K406&lt;&gt;"None",Q406=""),"Enter the legal deadline",IF(AND(S406&lt;&gt;"",OR(T406="",V406="")),"Record outcome and root cause",IF(AND(P406="",S406="",Settings!$B$4&gt;O406),"Acknowledgment overdue",""))))))))</f>
        <v/>
      </c>
    </row>
    <row r="407" ht="15.75" customHeight="1" s="31">
      <c r="A407" s="44" t="n"/>
      <c r="B407" s="45" t="n"/>
      <c r="C407" s="45" t="n"/>
      <c r="D407" s="44" t="n"/>
      <c r="E407" s="44" t="n"/>
      <c r="F407" s="44" t="n"/>
      <c r="G407" s="44" t="n"/>
      <c r="H407" s="44" t="n"/>
      <c r="I407" s="44" t="n"/>
      <c r="J407" s="44" t="n"/>
      <c r="K407" s="44" t="n"/>
      <c r="L407" s="41">
        <f>IF(B407="","",IF(OR(COUNTIF(Settings!$E$4:$E$9,D407)&gt;0,I407="Yes",J407="Yes",K407="Fair lending allegation"),"Escalated","Standard"))</f>
        <v/>
      </c>
      <c r="M407" s="45" t="n"/>
      <c r="N407" s="45" t="n"/>
      <c r="O407" s="42">
        <f>IF(B407="","",WORKDAY(B407,Settings!$B$7))</f>
        <v/>
      </c>
      <c r="P407" s="45" t="n"/>
      <c r="Q407" s="45" t="n"/>
      <c r="R407" s="42">
        <f>IF(B407="","",IF(Q407&lt;&gt;"",MIN(Q407,IF(L407="Escalated",B407+Settings!$B$9,WORKDAY(B407,Settings!$B$8))),IF(L407="Escalated",B407+Settings!$B$9,WORKDAY(B407,Settings!$B$8))))</f>
        <v/>
      </c>
      <c r="S407" s="45" t="n"/>
      <c r="T407" s="44" t="n"/>
      <c r="U407" s="46" t="n"/>
      <c r="V407" s="44" t="n"/>
      <c r="W407" s="44" t="n"/>
      <c r="X407" s="44" t="n"/>
      <c r="Y407" s="41">
        <f>IF(B407="","",IF(S407&lt;&gt;"",S407,Settings!$B$4)-B407)</f>
        <v/>
      </c>
      <c r="Z407" s="41">
        <f>IF(B407="","",IF(S407&lt;&gt;"",IF(S407&gt;R407,"Closed late","Closed on time"),IF(Settings!$B$4&gt;R407,"Open: overdue","Open")))</f>
        <v/>
      </c>
      <c r="AA407" s="41">
        <f>IF(B407="","",IF(NETWORKDAYS(B407,C407)-1&gt;Settings!$B$5,"Logged late",IF(AND(L407="Escalated",M407=""),"Escalate to Compliance",IF(AND(L407="Escalated",N407=""),"Notify Sponsor Bank",IF(AND(L407="Escalated",N407&lt;&gt;"",NETWORKDAYS(B407,N407)-1&gt;Settings!$B$10),"Sponsor Bank notified late",IF(AND(K407&lt;&gt;"",K407&lt;&gt;"None",Q407=""),"Enter the legal deadline",IF(AND(S407&lt;&gt;"",OR(T407="",V407="")),"Record outcome and root cause",IF(AND(P407="",S407="",Settings!$B$4&gt;O407),"Acknowledgment overdue",""))))))))</f>
        <v/>
      </c>
    </row>
    <row r="408" ht="15.75" customHeight="1" s="31">
      <c r="A408" s="44" t="n"/>
      <c r="B408" s="45" t="n"/>
      <c r="C408" s="45" t="n"/>
      <c r="D408" s="44" t="n"/>
      <c r="E408" s="44" t="n"/>
      <c r="F408" s="44" t="n"/>
      <c r="G408" s="44" t="n"/>
      <c r="H408" s="44" t="n"/>
      <c r="I408" s="44" t="n"/>
      <c r="J408" s="44" t="n"/>
      <c r="K408" s="44" t="n"/>
      <c r="L408" s="41">
        <f>IF(B408="","",IF(OR(COUNTIF(Settings!$E$4:$E$9,D408)&gt;0,I408="Yes",J408="Yes",K408="Fair lending allegation"),"Escalated","Standard"))</f>
        <v/>
      </c>
      <c r="M408" s="45" t="n"/>
      <c r="N408" s="45" t="n"/>
      <c r="O408" s="42">
        <f>IF(B408="","",WORKDAY(B408,Settings!$B$7))</f>
        <v/>
      </c>
      <c r="P408" s="45" t="n"/>
      <c r="Q408" s="45" t="n"/>
      <c r="R408" s="42">
        <f>IF(B408="","",IF(Q408&lt;&gt;"",MIN(Q408,IF(L408="Escalated",B408+Settings!$B$9,WORKDAY(B408,Settings!$B$8))),IF(L408="Escalated",B408+Settings!$B$9,WORKDAY(B408,Settings!$B$8))))</f>
        <v/>
      </c>
      <c r="S408" s="45" t="n"/>
      <c r="T408" s="44" t="n"/>
      <c r="U408" s="46" t="n"/>
      <c r="V408" s="44" t="n"/>
      <c r="W408" s="44" t="n"/>
      <c r="X408" s="44" t="n"/>
      <c r="Y408" s="41">
        <f>IF(B408="","",IF(S408&lt;&gt;"",S408,Settings!$B$4)-B408)</f>
        <v/>
      </c>
      <c r="Z408" s="41">
        <f>IF(B408="","",IF(S408&lt;&gt;"",IF(S408&gt;R408,"Closed late","Closed on time"),IF(Settings!$B$4&gt;R408,"Open: overdue","Open")))</f>
        <v/>
      </c>
      <c r="AA408" s="41">
        <f>IF(B408="","",IF(NETWORKDAYS(B408,C408)-1&gt;Settings!$B$5,"Logged late",IF(AND(L408="Escalated",M408=""),"Escalate to Compliance",IF(AND(L408="Escalated",N408=""),"Notify Sponsor Bank",IF(AND(L408="Escalated",N408&lt;&gt;"",NETWORKDAYS(B408,N408)-1&gt;Settings!$B$10),"Sponsor Bank notified late",IF(AND(K408&lt;&gt;"",K408&lt;&gt;"None",Q408=""),"Enter the legal deadline",IF(AND(S408&lt;&gt;"",OR(T408="",V408="")),"Record outcome and root cause",IF(AND(P408="",S408="",Settings!$B$4&gt;O408),"Acknowledgment overdue",""))))))))</f>
        <v/>
      </c>
    </row>
    <row r="409" ht="15.75" customHeight="1" s="31">
      <c r="A409" s="44" t="n"/>
      <c r="B409" s="45" t="n"/>
      <c r="C409" s="45" t="n"/>
      <c r="D409" s="44" t="n"/>
      <c r="E409" s="44" t="n"/>
      <c r="F409" s="44" t="n"/>
      <c r="G409" s="44" t="n"/>
      <c r="H409" s="44" t="n"/>
      <c r="I409" s="44" t="n"/>
      <c r="J409" s="44" t="n"/>
      <c r="K409" s="44" t="n"/>
      <c r="L409" s="41">
        <f>IF(B409="","",IF(OR(COUNTIF(Settings!$E$4:$E$9,D409)&gt;0,I409="Yes",J409="Yes",K409="Fair lending allegation"),"Escalated","Standard"))</f>
        <v/>
      </c>
      <c r="M409" s="45" t="n"/>
      <c r="N409" s="45" t="n"/>
      <c r="O409" s="42">
        <f>IF(B409="","",WORKDAY(B409,Settings!$B$7))</f>
        <v/>
      </c>
      <c r="P409" s="45" t="n"/>
      <c r="Q409" s="45" t="n"/>
      <c r="R409" s="42">
        <f>IF(B409="","",IF(Q409&lt;&gt;"",MIN(Q409,IF(L409="Escalated",B409+Settings!$B$9,WORKDAY(B409,Settings!$B$8))),IF(L409="Escalated",B409+Settings!$B$9,WORKDAY(B409,Settings!$B$8))))</f>
        <v/>
      </c>
      <c r="S409" s="45" t="n"/>
      <c r="T409" s="44" t="n"/>
      <c r="U409" s="46" t="n"/>
      <c r="V409" s="44" t="n"/>
      <c r="W409" s="44" t="n"/>
      <c r="X409" s="44" t="n"/>
      <c r="Y409" s="41">
        <f>IF(B409="","",IF(S409&lt;&gt;"",S409,Settings!$B$4)-B409)</f>
        <v/>
      </c>
      <c r="Z409" s="41">
        <f>IF(B409="","",IF(S409&lt;&gt;"",IF(S409&gt;R409,"Closed late","Closed on time"),IF(Settings!$B$4&gt;R409,"Open: overdue","Open")))</f>
        <v/>
      </c>
      <c r="AA409" s="41">
        <f>IF(B409="","",IF(NETWORKDAYS(B409,C409)-1&gt;Settings!$B$5,"Logged late",IF(AND(L409="Escalated",M409=""),"Escalate to Compliance",IF(AND(L409="Escalated",N409=""),"Notify Sponsor Bank",IF(AND(L409="Escalated",N409&lt;&gt;"",NETWORKDAYS(B409,N409)-1&gt;Settings!$B$10),"Sponsor Bank notified late",IF(AND(K409&lt;&gt;"",K409&lt;&gt;"None",Q409=""),"Enter the legal deadline",IF(AND(S409&lt;&gt;"",OR(T409="",V409="")),"Record outcome and root cause",IF(AND(P409="",S409="",Settings!$B$4&gt;O409),"Acknowledgment overdue",""))))))))</f>
        <v/>
      </c>
    </row>
    <row r="410" ht="15.75" customHeight="1" s="31">
      <c r="A410" s="44" t="n"/>
      <c r="B410" s="45" t="n"/>
      <c r="C410" s="45" t="n"/>
      <c r="D410" s="44" t="n"/>
      <c r="E410" s="44" t="n"/>
      <c r="F410" s="44" t="n"/>
      <c r="G410" s="44" t="n"/>
      <c r="H410" s="44" t="n"/>
      <c r="I410" s="44" t="n"/>
      <c r="J410" s="44" t="n"/>
      <c r="K410" s="44" t="n"/>
      <c r="L410" s="41">
        <f>IF(B410="","",IF(OR(COUNTIF(Settings!$E$4:$E$9,D410)&gt;0,I410="Yes",J410="Yes",K410="Fair lending allegation"),"Escalated","Standard"))</f>
        <v/>
      </c>
      <c r="M410" s="45" t="n"/>
      <c r="N410" s="45" t="n"/>
      <c r="O410" s="42">
        <f>IF(B410="","",WORKDAY(B410,Settings!$B$7))</f>
        <v/>
      </c>
      <c r="P410" s="45" t="n"/>
      <c r="Q410" s="45" t="n"/>
      <c r="R410" s="42">
        <f>IF(B410="","",IF(Q410&lt;&gt;"",MIN(Q410,IF(L410="Escalated",B410+Settings!$B$9,WORKDAY(B410,Settings!$B$8))),IF(L410="Escalated",B410+Settings!$B$9,WORKDAY(B410,Settings!$B$8))))</f>
        <v/>
      </c>
      <c r="S410" s="45" t="n"/>
      <c r="T410" s="44" t="n"/>
      <c r="U410" s="46" t="n"/>
      <c r="V410" s="44" t="n"/>
      <c r="W410" s="44" t="n"/>
      <c r="X410" s="44" t="n"/>
      <c r="Y410" s="41">
        <f>IF(B410="","",IF(S410&lt;&gt;"",S410,Settings!$B$4)-B410)</f>
        <v/>
      </c>
      <c r="Z410" s="41">
        <f>IF(B410="","",IF(S410&lt;&gt;"",IF(S410&gt;R410,"Closed late","Closed on time"),IF(Settings!$B$4&gt;R410,"Open: overdue","Open")))</f>
        <v/>
      </c>
      <c r="AA410" s="41">
        <f>IF(B410="","",IF(NETWORKDAYS(B410,C410)-1&gt;Settings!$B$5,"Logged late",IF(AND(L410="Escalated",M410=""),"Escalate to Compliance",IF(AND(L410="Escalated",N410=""),"Notify Sponsor Bank",IF(AND(L410="Escalated",N410&lt;&gt;"",NETWORKDAYS(B410,N410)-1&gt;Settings!$B$10),"Sponsor Bank notified late",IF(AND(K410&lt;&gt;"",K410&lt;&gt;"None",Q410=""),"Enter the legal deadline",IF(AND(S410&lt;&gt;"",OR(T410="",V410="")),"Record outcome and root cause",IF(AND(P410="",S410="",Settings!$B$4&gt;O410),"Acknowledgment overdue",""))))))))</f>
        <v/>
      </c>
    </row>
    <row r="411" ht="15.75" customHeight="1" s="31">
      <c r="A411" s="44" t="n"/>
      <c r="B411" s="45" t="n"/>
      <c r="C411" s="45" t="n"/>
      <c r="D411" s="44" t="n"/>
      <c r="E411" s="44" t="n"/>
      <c r="F411" s="44" t="n"/>
      <c r="G411" s="44" t="n"/>
      <c r="H411" s="44" t="n"/>
      <c r="I411" s="44" t="n"/>
      <c r="J411" s="44" t="n"/>
      <c r="K411" s="44" t="n"/>
      <c r="L411" s="41">
        <f>IF(B411="","",IF(OR(COUNTIF(Settings!$E$4:$E$9,D411)&gt;0,I411="Yes",J411="Yes",K411="Fair lending allegation"),"Escalated","Standard"))</f>
        <v/>
      </c>
      <c r="M411" s="45" t="n"/>
      <c r="N411" s="45" t="n"/>
      <c r="O411" s="42">
        <f>IF(B411="","",WORKDAY(B411,Settings!$B$7))</f>
        <v/>
      </c>
      <c r="P411" s="45" t="n"/>
      <c r="Q411" s="45" t="n"/>
      <c r="R411" s="42">
        <f>IF(B411="","",IF(Q411&lt;&gt;"",MIN(Q411,IF(L411="Escalated",B411+Settings!$B$9,WORKDAY(B411,Settings!$B$8))),IF(L411="Escalated",B411+Settings!$B$9,WORKDAY(B411,Settings!$B$8))))</f>
        <v/>
      </c>
      <c r="S411" s="45" t="n"/>
      <c r="T411" s="44" t="n"/>
      <c r="U411" s="46" t="n"/>
      <c r="V411" s="44" t="n"/>
      <c r="W411" s="44" t="n"/>
      <c r="X411" s="44" t="n"/>
      <c r="Y411" s="41">
        <f>IF(B411="","",IF(S411&lt;&gt;"",S411,Settings!$B$4)-B411)</f>
        <v/>
      </c>
      <c r="Z411" s="41">
        <f>IF(B411="","",IF(S411&lt;&gt;"",IF(S411&gt;R411,"Closed late","Closed on time"),IF(Settings!$B$4&gt;R411,"Open: overdue","Open")))</f>
        <v/>
      </c>
      <c r="AA411" s="41">
        <f>IF(B411="","",IF(NETWORKDAYS(B411,C411)-1&gt;Settings!$B$5,"Logged late",IF(AND(L411="Escalated",M411=""),"Escalate to Compliance",IF(AND(L411="Escalated",N411=""),"Notify Sponsor Bank",IF(AND(L411="Escalated",N411&lt;&gt;"",NETWORKDAYS(B411,N411)-1&gt;Settings!$B$10),"Sponsor Bank notified late",IF(AND(K411&lt;&gt;"",K411&lt;&gt;"None",Q411=""),"Enter the legal deadline",IF(AND(S411&lt;&gt;"",OR(T411="",V411="")),"Record outcome and root cause",IF(AND(P411="",S411="",Settings!$B$4&gt;O411),"Acknowledgment overdue",""))))))))</f>
        <v/>
      </c>
    </row>
    <row r="412" ht="15.75" customHeight="1" s="31">
      <c r="A412" s="44" t="n"/>
      <c r="B412" s="45" t="n"/>
      <c r="C412" s="45" t="n"/>
      <c r="D412" s="44" t="n"/>
      <c r="E412" s="44" t="n"/>
      <c r="F412" s="44" t="n"/>
      <c r="G412" s="44" t="n"/>
      <c r="H412" s="44" t="n"/>
      <c r="I412" s="44" t="n"/>
      <c r="J412" s="44" t="n"/>
      <c r="K412" s="44" t="n"/>
      <c r="L412" s="41">
        <f>IF(B412="","",IF(OR(COUNTIF(Settings!$E$4:$E$9,D412)&gt;0,I412="Yes",J412="Yes",K412="Fair lending allegation"),"Escalated","Standard"))</f>
        <v/>
      </c>
      <c r="M412" s="45" t="n"/>
      <c r="N412" s="45" t="n"/>
      <c r="O412" s="42">
        <f>IF(B412="","",WORKDAY(B412,Settings!$B$7))</f>
        <v/>
      </c>
      <c r="P412" s="45" t="n"/>
      <c r="Q412" s="45" t="n"/>
      <c r="R412" s="42">
        <f>IF(B412="","",IF(Q412&lt;&gt;"",MIN(Q412,IF(L412="Escalated",B412+Settings!$B$9,WORKDAY(B412,Settings!$B$8))),IF(L412="Escalated",B412+Settings!$B$9,WORKDAY(B412,Settings!$B$8))))</f>
        <v/>
      </c>
      <c r="S412" s="45" t="n"/>
      <c r="T412" s="44" t="n"/>
      <c r="U412" s="46" t="n"/>
      <c r="V412" s="44" t="n"/>
      <c r="W412" s="44" t="n"/>
      <c r="X412" s="44" t="n"/>
      <c r="Y412" s="41">
        <f>IF(B412="","",IF(S412&lt;&gt;"",S412,Settings!$B$4)-B412)</f>
        <v/>
      </c>
      <c r="Z412" s="41">
        <f>IF(B412="","",IF(S412&lt;&gt;"",IF(S412&gt;R412,"Closed late","Closed on time"),IF(Settings!$B$4&gt;R412,"Open: overdue","Open")))</f>
        <v/>
      </c>
      <c r="AA412" s="41">
        <f>IF(B412="","",IF(NETWORKDAYS(B412,C412)-1&gt;Settings!$B$5,"Logged late",IF(AND(L412="Escalated",M412=""),"Escalate to Compliance",IF(AND(L412="Escalated",N412=""),"Notify Sponsor Bank",IF(AND(L412="Escalated",N412&lt;&gt;"",NETWORKDAYS(B412,N412)-1&gt;Settings!$B$10),"Sponsor Bank notified late",IF(AND(K412&lt;&gt;"",K412&lt;&gt;"None",Q412=""),"Enter the legal deadline",IF(AND(S412&lt;&gt;"",OR(T412="",V412="")),"Record outcome and root cause",IF(AND(P412="",S412="",Settings!$B$4&gt;O412),"Acknowledgment overdue",""))))))))</f>
        <v/>
      </c>
    </row>
    <row r="413" ht="15.75" customHeight="1" s="31">
      <c r="A413" s="44" t="n"/>
      <c r="B413" s="45" t="n"/>
      <c r="C413" s="45" t="n"/>
      <c r="D413" s="44" t="n"/>
      <c r="E413" s="44" t="n"/>
      <c r="F413" s="44" t="n"/>
      <c r="G413" s="44" t="n"/>
      <c r="H413" s="44" t="n"/>
      <c r="I413" s="44" t="n"/>
      <c r="J413" s="44" t="n"/>
      <c r="K413" s="44" t="n"/>
      <c r="L413" s="41">
        <f>IF(B413="","",IF(OR(COUNTIF(Settings!$E$4:$E$9,D413)&gt;0,I413="Yes",J413="Yes",K413="Fair lending allegation"),"Escalated","Standard"))</f>
        <v/>
      </c>
      <c r="M413" s="45" t="n"/>
      <c r="N413" s="45" t="n"/>
      <c r="O413" s="42">
        <f>IF(B413="","",WORKDAY(B413,Settings!$B$7))</f>
        <v/>
      </c>
      <c r="P413" s="45" t="n"/>
      <c r="Q413" s="45" t="n"/>
      <c r="R413" s="42">
        <f>IF(B413="","",IF(Q413&lt;&gt;"",MIN(Q413,IF(L413="Escalated",B413+Settings!$B$9,WORKDAY(B413,Settings!$B$8))),IF(L413="Escalated",B413+Settings!$B$9,WORKDAY(B413,Settings!$B$8))))</f>
        <v/>
      </c>
      <c r="S413" s="45" t="n"/>
      <c r="T413" s="44" t="n"/>
      <c r="U413" s="46" t="n"/>
      <c r="V413" s="44" t="n"/>
      <c r="W413" s="44" t="n"/>
      <c r="X413" s="44" t="n"/>
      <c r="Y413" s="41">
        <f>IF(B413="","",IF(S413&lt;&gt;"",S413,Settings!$B$4)-B413)</f>
        <v/>
      </c>
      <c r="Z413" s="41">
        <f>IF(B413="","",IF(S413&lt;&gt;"",IF(S413&gt;R413,"Closed late","Closed on time"),IF(Settings!$B$4&gt;R413,"Open: overdue","Open")))</f>
        <v/>
      </c>
      <c r="AA413" s="41">
        <f>IF(B413="","",IF(NETWORKDAYS(B413,C413)-1&gt;Settings!$B$5,"Logged late",IF(AND(L413="Escalated",M413=""),"Escalate to Compliance",IF(AND(L413="Escalated",N413=""),"Notify Sponsor Bank",IF(AND(L413="Escalated",N413&lt;&gt;"",NETWORKDAYS(B413,N413)-1&gt;Settings!$B$10),"Sponsor Bank notified late",IF(AND(K413&lt;&gt;"",K413&lt;&gt;"None",Q413=""),"Enter the legal deadline",IF(AND(S413&lt;&gt;"",OR(T413="",V413="")),"Record outcome and root cause",IF(AND(P413="",S413="",Settings!$B$4&gt;O413),"Acknowledgment overdue",""))))))))</f>
        <v/>
      </c>
    </row>
    <row r="414" ht="15.75" customHeight="1" s="31">
      <c r="A414" s="44" t="n"/>
      <c r="B414" s="45" t="n"/>
      <c r="C414" s="45" t="n"/>
      <c r="D414" s="44" t="n"/>
      <c r="E414" s="44" t="n"/>
      <c r="F414" s="44" t="n"/>
      <c r="G414" s="44" t="n"/>
      <c r="H414" s="44" t="n"/>
      <c r="I414" s="44" t="n"/>
      <c r="J414" s="44" t="n"/>
      <c r="K414" s="44" t="n"/>
      <c r="L414" s="41">
        <f>IF(B414="","",IF(OR(COUNTIF(Settings!$E$4:$E$9,D414)&gt;0,I414="Yes",J414="Yes",K414="Fair lending allegation"),"Escalated","Standard"))</f>
        <v/>
      </c>
      <c r="M414" s="45" t="n"/>
      <c r="N414" s="45" t="n"/>
      <c r="O414" s="42">
        <f>IF(B414="","",WORKDAY(B414,Settings!$B$7))</f>
        <v/>
      </c>
      <c r="P414" s="45" t="n"/>
      <c r="Q414" s="45" t="n"/>
      <c r="R414" s="42">
        <f>IF(B414="","",IF(Q414&lt;&gt;"",MIN(Q414,IF(L414="Escalated",B414+Settings!$B$9,WORKDAY(B414,Settings!$B$8))),IF(L414="Escalated",B414+Settings!$B$9,WORKDAY(B414,Settings!$B$8))))</f>
        <v/>
      </c>
      <c r="S414" s="45" t="n"/>
      <c r="T414" s="44" t="n"/>
      <c r="U414" s="46" t="n"/>
      <c r="V414" s="44" t="n"/>
      <c r="W414" s="44" t="n"/>
      <c r="X414" s="44" t="n"/>
      <c r="Y414" s="41">
        <f>IF(B414="","",IF(S414&lt;&gt;"",S414,Settings!$B$4)-B414)</f>
        <v/>
      </c>
      <c r="Z414" s="41">
        <f>IF(B414="","",IF(S414&lt;&gt;"",IF(S414&gt;R414,"Closed late","Closed on time"),IF(Settings!$B$4&gt;R414,"Open: overdue","Open")))</f>
        <v/>
      </c>
      <c r="AA414" s="41">
        <f>IF(B414="","",IF(NETWORKDAYS(B414,C414)-1&gt;Settings!$B$5,"Logged late",IF(AND(L414="Escalated",M414=""),"Escalate to Compliance",IF(AND(L414="Escalated",N414=""),"Notify Sponsor Bank",IF(AND(L414="Escalated",N414&lt;&gt;"",NETWORKDAYS(B414,N414)-1&gt;Settings!$B$10),"Sponsor Bank notified late",IF(AND(K414&lt;&gt;"",K414&lt;&gt;"None",Q414=""),"Enter the legal deadline",IF(AND(S414&lt;&gt;"",OR(T414="",V414="")),"Record outcome and root cause",IF(AND(P414="",S414="",Settings!$B$4&gt;O414),"Acknowledgment overdue",""))))))))</f>
        <v/>
      </c>
    </row>
    <row r="415" ht="15.75" customHeight="1" s="31">
      <c r="A415" s="44" t="n"/>
      <c r="B415" s="45" t="n"/>
      <c r="C415" s="45" t="n"/>
      <c r="D415" s="44" t="n"/>
      <c r="E415" s="44" t="n"/>
      <c r="F415" s="44" t="n"/>
      <c r="G415" s="44" t="n"/>
      <c r="H415" s="44" t="n"/>
      <c r="I415" s="44" t="n"/>
      <c r="J415" s="44" t="n"/>
      <c r="K415" s="44" t="n"/>
      <c r="L415" s="41">
        <f>IF(B415="","",IF(OR(COUNTIF(Settings!$E$4:$E$9,D415)&gt;0,I415="Yes",J415="Yes",K415="Fair lending allegation"),"Escalated","Standard"))</f>
        <v/>
      </c>
      <c r="M415" s="45" t="n"/>
      <c r="N415" s="45" t="n"/>
      <c r="O415" s="42">
        <f>IF(B415="","",WORKDAY(B415,Settings!$B$7))</f>
        <v/>
      </c>
      <c r="P415" s="45" t="n"/>
      <c r="Q415" s="45" t="n"/>
      <c r="R415" s="42">
        <f>IF(B415="","",IF(Q415&lt;&gt;"",MIN(Q415,IF(L415="Escalated",B415+Settings!$B$9,WORKDAY(B415,Settings!$B$8))),IF(L415="Escalated",B415+Settings!$B$9,WORKDAY(B415,Settings!$B$8))))</f>
        <v/>
      </c>
      <c r="S415" s="45" t="n"/>
      <c r="T415" s="44" t="n"/>
      <c r="U415" s="46" t="n"/>
      <c r="V415" s="44" t="n"/>
      <c r="W415" s="44" t="n"/>
      <c r="X415" s="44" t="n"/>
      <c r="Y415" s="41">
        <f>IF(B415="","",IF(S415&lt;&gt;"",S415,Settings!$B$4)-B415)</f>
        <v/>
      </c>
      <c r="Z415" s="41">
        <f>IF(B415="","",IF(S415&lt;&gt;"",IF(S415&gt;R415,"Closed late","Closed on time"),IF(Settings!$B$4&gt;R415,"Open: overdue","Open")))</f>
        <v/>
      </c>
      <c r="AA415" s="41">
        <f>IF(B415="","",IF(NETWORKDAYS(B415,C415)-1&gt;Settings!$B$5,"Logged late",IF(AND(L415="Escalated",M415=""),"Escalate to Compliance",IF(AND(L415="Escalated",N415=""),"Notify Sponsor Bank",IF(AND(L415="Escalated",N415&lt;&gt;"",NETWORKDAYS(B415,N415)-1&gt;Settings!$B$10),"Sponsor Bank notified late",IF(AND(K415&lt;&gt;"",K415&lt;&gt;"None",Q415=""),"Enter the legal deadline",IF(AND(S415&lt;&gt;"",OR(T415="",V415="")),"Record outcome and root cause",IF(AND(P415="",S415="",Settings!$B$4&gt;O415),"Acknowledgment overdue",""))))))))</f>
        <v/>
      </c>
    </row>
    <row r="416" ht="15.75" customHeight="1" s="31">
      <c r="A416" s="44" t="n"/>
      <c r="B416" s="45" t="n"/>
      <c r="C416" s="45" t="n"/>
      <c r="D416" s="44" t="n"/>
      <c r="E416" s="44" t="n"/>
      <c r="F416" s="44" t="n"/>
      <c r="G416" s="44" t="n"/>
      <c r="H416" s="44" t="n"/>
      <c r="I416" s="44" t="n"/>
      <c r="J416" s="44" t="n"/>
      <c r="K416" s="44" t="n"/>
      <c r="L416" s="41">
        <f>IF(B416="","",IF(OR(COUNTIF(Settings!$E$4:$E$9,D416)&gt;0,I416="Yes",J416="Yes",K416="Fair lending allegation"),"Escalated","Standard"))</f>
        <v/>
      </c>
      <c r="M416" s="45" t="n"/>
      <c r="N416" s="45" t="n"/>
      <c r="O416" s="42">
        <f>IF(B416="","",WORKDAY(B416,Settings!$B$7))</f>
        <v/>
      </c>
      <c r="P416" s="45" t="n"/>
      <c r="Q416" s="45" t="n"/>
      <c r="R416" s="42">
        <f>IF(B416="","",IF(Q416&lt;&gt;"",MIN(Q416,IF(L416="Escalated",B416+Settings!$B$9,WORKDAY(B416,Settings!$B$8))),IF(L416="Escalated",B416+Settings!$B$9,WORKDAY(B416,Settings!$B$8))))</f>
        <v/>
      </c>
      <c r="S416" s="45" t="n"/>
      <c r="T416" s="44" t="n"/>
      <c r="U416" s="46" t="n"/>
      <c r="V416" s="44" t="n"/>
      <c r="W416" s="44" t="n"/>
      <c r="X416" s="44" t="n"/>
      <c r="Y416" s="41">
        <f>IF(B416="","",IF(S416&lt;&gt;"",S416,Settings!$B$4)-B416)</f>
        <v/>
      </c>
      <c r="Z416" s="41">
        <f>IF(B416="","",IF(S416&lt;&gt;"",IF(S416&gt;R416,"Closed late","Closed on time"),IF(Settings!$B$4&gt;R416,"Open: overdue","Open")))</f>
        <v/>
      </c>
      <c r="AA416" s="41">
        <f>IF(B416="","",IF(NETWORKDAYS(B416,C416)-1&gt;Settings!$B$5,"Logged late",IF(AND(L416="Escalated",M416=""),"Escalate to Compliance",IF(AND(L416="Escalated",N416=""),"Notify Sponsor Bank",IF(AND(L416="Escalated",N416&lt;&gt;"",NETWORKDAYS(B416,N416)-1&gt;Settings!$B$10),"Sponsor Bank notified late",IF(AND(K416&lt;&gt;"",K416&lt;&gt;"None",Q416=""),"Enter the legal deadline",IF(AND(S416&lt;&gt;"",OR(T416="",V416="")),"Record outcome and root cause",IF(AND(P416="",S416="",Settings!$B$4&gt;O416),"Acknowledgment overdue",""))))))))</f>
        <v/>
      </c>
    </row>
    <row r="417" ht="15.75" customHeight="1" s="31">
      <c r="A417" s="44" t="n"/>
      <c r="B417" s="45" t="n"/>
      <c r="C417" s="45" t="n"/>
      <c r="D417" s="44" t="n"/>
      <c r="E417" s="44" t="n"/>
      <c r="F417" s="44" t="n"/>
      <c r="G417" s="44" t="n"/>
      <c r="H417" s="44" t="n"/>
      <c r="I417" s="44" t="n"/>
      <c r="J417" s="44" t="n"/>
      <c r="K417" s="44" t="n"/>
      <c r="L417" s="41">
        <f>IF(B417="","",IF(OR(COUNTIF(Settings!$E$4:$E$9,D417)&gt;0,I417="Yes",J417="Yes",K417="Fair lending allegation"),"Escalated","Standard"))</f>
        <v/>
      </c>
      <c r="M417" s="45" t="n"/>
      <c r="N417" s="45" t="n"/>
      <c r="O417" s="42">
        <f>IF(B417="","",WORKDAY(B417,Settings!$B$7))</f>
        <v/>
      </c>
      <c r="P417" s="45" t="n"/>
      <c r="Q417" s="45" t="n"/>
      <c r="R417" s="42">
        <f>IF(B417="","",IF(Q417&lt;&gt;"",MIN(Q417,IF(L417="Escalated",B417+Settings!$B$9,WORKDAY(B417,Settings!$B$8))),IF(L417="Escalated",B417+Settings!$B$9,WORKDAY(B417,Settings!$B$8))))</f>
        <v/>
      </c>
      <c r="S417" s="45" t="n"/>
      <c r="T417" s="44" t="n"/>
      <c r="U417" s="46" t="n"/>
      <c r="V417" s="44" t="n"/>
      <c r="W417" s="44" t="n"/>
      <c r="X417" s="44" t="n"/>
      <c r="Y417" s="41">
        <f>IF(B417="","",IF(S417&lt;&gt;"",S417,Settings!$B$4)-B417)</f>
        <v/>
      </c>
      <c r="Z417" s="41">
        <f>IF(B417="","",IF(S417&lt;&gt;"",IF(S417&gt;R417,"Closed late","Closed on time"),IF(Settings!$B$4&gt;R417,"Open: overdue","Open")))</f>
        <v/>
      </c>
      <c r="AA417" s="41">
        <f>IF(B417="","",IF(NETWORKDAYS(B417,C417)-1&gt;Settings!$B$5,"Logged late",IF(AND(L417="Escalated",M417=""),"Escalate to Compliance",IF(AND(L417="Escalated",N417=""),"Notify Sponsor Bank",IF(AND(L417="Escalated",N417&lt;&gt;"",NETWORKDAYS(B417,N417)-1&gt;Settings!$B$10),"Sponsor Bank notified late",IF(AND(K417&lt;&gt;"",K417&lt;&gt;"None",Q417=""),"Enter the legal deadline",IF(AND(S417&lt;&gt;"",OR(T417="",V417="")),"Record outcome and root cause",IF(AND(P417="",S417="",Settings!$B$4&gt;O417),"Acknowledgment overdue",""))))))))</f>
        <v/>
      </c>
    </row>
    <row r="418" ht="15.75" customHeight="1" s="31">
      <c r="A418" s="44" t="n"/>
      <c r="B418" s="45" t="n"/>
      <c r="C418" s="45" t="n"/>
      <c r="D418" s="44" t="n"/>
      <c r="E418" s="44" t="n"/>
      <c r="F418" s="44" t="n"/>
      <c r="G418" s="44" t="n"/>
      <c r="H418" s="44" t="n"/>
      <c r="I418" s="44" t="n"/>
      <c r="J418" s="44" t="n"/>
      <c r="K418" s="44" t="n"/>
      <c r="L418" s="41">
        <f>IF(B418="","",IF(OR(COUNTIF(Settings!$E$4:$E$9,D418)&gt;0,I418="Yes",J418="Yes",K418="Fair lending allegation"),"Escalated","Standard"))</f>
        <v/>
      </c>
      <c r="M418" s="45" t="n"/>
      <c r="N418" s="45" t="n"/>
      <c r="O418" s="42">
        <f>IF(B418="","",WORKDAY(B418,Settings!$B$7))</f>
        <v/>
      </c>
      <c r="P418" s="45" t="n"/>
      <c r="Q418" s="45" t="n"/>
      <c r="R418" s="42">
        <f>IF(B418="","",IF(Q418&lt;&gt;"",MIN(Q418,IF(L418="Escalated",B418+Settings!$B$9,WORKDAY(B418,Settings!$B$8))),IF(L418="Escalated",B418+Settings!$B$9,WORKDAY(B418,Settings!$B$8))))</f>
        <v/>
      </c>
      <c r="S418" s="45" t="n"/>
      <c r="T418" s="44" t="n"/>
      <c r="U418" s="46" t="n"/>
      <c r="V418" s="44" t="n"/>
      <c r="W418" s="44" t="n"/>
      <c r="X418" s="44" t="n"/>
      <c r="Y418" s="41">
        <f>IF(B418="","",IF(S418&lt;&gt;"",S418,Settings!$B$4)-B418)</f>
        <v/>
      </c>
      <c r="Z418" s="41">
        <f>IF(B418="","",IF(S418&lt;&gt;"",IF(S418&gt;R418,"Closed late","Closed on time"),IF(Settings!$B$4&gt;R418,"Open: overdue","Open")))</f>
        <v/>
      </c>
      <c r="AA418" s="41">
        <f>IF(B418="","",IF(NETWORKDAYS(B418,C418)-1&gt;Settings!$B$5,"Logged late",IF(AND(L418="Escalated",M418=""),"Escalate to Compliance",IF(AND(L418="Escalated",N418=""),"Notify Sponsor Bank",IF(AND(L418="Escalated",N418&lt;&gt;"",NETWORKDAYS(B418,N418)-1&gt;Settings!$B$10),"Sponsor Bank notified late",IF(AND(K418&lt;&gt;"",K418&lt;&gt;"None",Q418=""),"Enter the legal deadline",IF(AND(S418&lt;&gt;"",OR(T418="",V418="")),"Record outcome and root cause",IF(AND(P418="",S418="",Settings!$B$4&gt;O418),"Acknowledgment overdue",""))))))))</f>
        <v/>
      </c>
    </row>
    <row r="419" ht="15.75" customHeight="1" s="31">
      <c r="A419" s="44" t="n"/>
      <c r="B419" s="45" t="n"/>
      <c r="C419" s="45" t="n"/>
      <c r="D419" s="44" t="n"/>
      <c r="E419" s="44" t="n"/>
      <c r="F419" s="44" t="n"/>
      <c r="G419" s="44" t="n"/>
      <c r="H419" s="44" t="n"/>
      <c r="I419" s="44" t="n"/>
      <c r="J419" s="44" t="n"/>
      <c r="K419" s="44" t="n"/>
      <c r="L419" s="41">
        <f>IF(B419="","",IF(OR(COUNTIF(Settings!$E$4:$E$9,D419)&gt;0,I419="Yes",J419="Yes",K419="Fair lending allegation"),"Escalated","Standard"))</f>
        <v/>
      </c>
      <c r="M419" s="45" t="n"/>
      <c r="N419" s="45" t="n"/>
      <c r="O419" s="42">
        <f>IF(B419="","",WORKDAY(B419,Settings!$B$7))</f>
        <v/>
      </c>
      <c r="P419" s="45" t="n"/>
      <c r="Q419" s="45" t="n"/>
      <c r="R419" s="42">
        <f>IF(B419="","",IF(Q419&lt;&gt;"",MIN(Q419,IF(L419="Escalated",B419+Settings!$B$9,WORKDAY(B419,Settings!$B$8))),IF(L419="Escalated",B419+Settings!$B$9,WORKDAY(B419,Settings!$B$8))))</f>
        <v/>
      </c>
      <c r="S419" s="45" t="n"/>
      <c r="T419" s="44" t="n"/>
      <c r="U419" s="46" t="n"/>
      <c r="V419" s="44" t="n"/>
      <c r="W419" s="44" t="n"/>
      <c r="X419" s="44" t="n"/>
      <c r="Y419" s="41">
        <f>IF(B419="","",IF(S419&lt;&gt;"",S419,Settings!$B$4)-B419)</f>
        <v/>
      </c>
      <c r="Z419" s="41">
        <f>IF(B419="","",IF(S419&lt;&gt;"",IF(S419&gt;R419,"Closed late","Closed on time"),IF(Settings!$B$4&gt;R419,"Open: overdue","Open")))</f>
        <v/>
      </c>
      <c r="AA419" s="41">
        <f>IF(B419="","",IF(NETWORKDAYS(B419,C419)-1&gt;Settings!$B$5,"Logged late",IF(AND(L419="Escalated",M419=""),"Escalate to Compliance",IF(AND(L419="Escalated",N419=""),"Notify Sponsor Bank",IF(AND(L419="Escalated",N419&lt;&gt;"",NETWORKDAYS(B419,N419)-1&gt;Settings!$B$10),"Sponsor Bank notified late",IF(AND(K419&lt;&gt;"",K419&lt;&gt;"None",Q419=""),"Enter the legal deadline",IF(AND(S419&lt;&gt;"",OR(T419="",V419="")),"Record outcome and root cause",IF(AND(P419="",S419="",Settings!$B$4&gt;O419),"Acknowledgment overdue",""))))))))</f>
        <v/>
      </c>
    </row>
    <row r="420" ht="15.75" customHeight="1" s="31">
      <c r="A420" s="44" t="n"/>
      <c r="B420" s="45" t="n"/>
      <c r="C420" s="45" t="n"/>
      <c r="D420" s="44" t="n"/>
      <c r="E420" s="44" t="n"/>
      <c r="F420" s="44" t="n"/>
      <c r="G420" s="44" t="n"/>
      <c r="H420" s="44" t="n"/>
      <c r="I420" s="44" t="n"/>
      <c r="J420" s="44" t="n"/>
      <c r="K420" s="44" t="n"/>
      <c r="L420" s="41">
        <f>IF(B420="","",IF(OR(COUNTIF(Settings!$E$4:$E$9,D420)&gt;0,I420="Yes",J420="Yes",K420="Fair lending allegation"),"Escalated","Standard"))</f>
        <v/>
      </c>
      <c r="M420" s="45" t="n"/>
      <c r="N420" s="45" t="n"/>
      <c r="O420" s="42">
        <f>IF(B420="","",WORKDAY(B420,Settings!$B$7))</f>
        <v/>
      </c>
      <c r="P420" s="45" t="n"/>
      <c r="Q420" s="45" t="n"/>
      <c r="R420" s="42">
        <f>IF(B420="","",IF(Q420&lt;&gt;"",MIN(Q420,IF(L420="Escalated",B420+Settings!$B$9,WORKDAY(B420,Settings!$B$8))),IF(L420="Escalated",B420+Settings!$B$9,WORKDAY(B420,Settings!$B$8))))</f>
        <v/>
      </c>
      <c r="S420" s="45" t="n"/>
      <c r="T420" s="44" t="n"/>
      <c r="U420" s="46" t="n"/>
      <c r="V420" s="44" t="n"/>
      <c r="W420" s="44" t="n"/>
      <c r="X420" s="44" t="n"/>
      <c r="Y420" s="41">
        <f>IF(B420="","",IF(S420&lt;&gt;"",S420,Settings!$B$4)-B420)</f>
        <v/>
      </c>
      <c r="Z420" s="41">
        <f>IF(B420="","",IF(S420&lt;&gt;"",IF(S420&gt;R420,"Closed late","Closed on time"),IF(Settings!$B$4&gt;R420,"Open: overdue","Open")))</f>
        <v/>
      </c>
      <c r="AA420" s="41">
        <f>IF(B420="","",IF(NETWORKDAYS(B420,C420)-1&gt;Settings!$B$5,"Logged late",IF(AND(L420="Escalated",M420=""),"Escalate to Compliance",IF(AND(L420="Escalated",N420=""),"Notify Sponsor Bank",IF(AND(L420="Escalated",N420&lt;&gt;"",NETWORKDAYS(B420,N420)-1&gt;Settings!$B$10),"Sponsor Bank notified late",IF(AND(K420&lt;&gt;"",K420&lt;&gt;"None",Q420=""),"Enter the legal deadline",IF(AND(S420&lt;&gt;"",OR(T420="",V420="")),"Record outcome and root cause",IF(AND(P420="",S420="",Settings!$B$4&gt;O420),"Acknowledgment overdue",""))))))))</f>
        <v/>
      </c>
    </row>
    <row r="421" ht="15.75" customHeight="1" s="31">
      <c r="A421" s="44" t="n"/>
      <c r="B421" s="45" t="n"/>
      <c r="C421" s="45" t="n"/>
      <c r="D421" s="44" t="n"/>
      <c r="E421" s="44" t="n"/>
      <c r="F421" s="44" t="n"/>
      <c r="G421" s="44" t="n"/>
      <c r="H421" s="44" t="n"/>
      <c r="I421" s="44" t="n"/>
      <c r="J421" s="44" t="n"/>
      <c r="K421" s="44" t="n"/>
      <c r="L421" s="41">
        <f>IF(B421="","",IF(OR(COUNTIF(Settings!$E$4:$E$9,D421)&gt;0,I421="Yes",J421="Yes",K421="Fair lending allegation"),"Escalated","Standard"))</f>
        <v/>
      </c>
      <c r="M421" s="45" t="n"/>
      <c r="N421" s="45" t="n"/>
      <c r="O421" s="42">
        <f>IF(B421="","",WORKDAY(B421,Settings!$B$7))</f>
        <v/>
      </c>
      <c r="P421" s="45" t="n"/>
      <c r="Q421" s="45" t="n"/>
      <c r="R421" s="42">
        <f>IF(B421="","",IF(Q421&lt;&gt;"",MIN(Q421,IF(L421="Escalated",B421+Settings!$B$9,WORKDAY(B421,Settings!$B$8))),IF(L421="Escalated",B421+Settings!$B$9,WORKDAY(B421,Settings!$B$8))))</f>
        <v/>
      </c>
      <c r="S421" s="45" t="n"/>
      <c r="T421" s="44" t="n"/>
      <c r="U421" s="46" t="n"/>
      <c r="V421" s="44" t="n"/>
      <c r="W421" s="44" t="n"/>
      <c r="X421" s="44" t="n"/>
      <c r="Y421" s="41">
        <f>IF(B421="","",IF(S421&lt;&gt;"",S421,Settings!$B$4)-B421)</f>
        <v/>
      </c>
      <c r="Z421" s="41">
        <f>IF(B421="","",IF(S421&lt;&gt;"",IF(S421&gt;R421,"Closed late","Closed on time"),IF(Settings!$B$4&gt;R421,"Open: overdue","Open")))</f>
        <v/>
      </c>
      <c r="AA421" s="41">
        <f>IF(B421="","",IF(NETWORKDAYS(B421,C421)-1&gt;Settings!$B$5,"Logged late",IF(AND(L421="Escalated",M421=""),"Escalate to Compliance",IF(AND(L421="Escalated",N421=""),"Notify Sponsor Bank",IF(AND(L421="Escalated",N421&lt;&gt;"",NETWORKDAYS(B421,N421)-1&gt;Settings!$B$10),"Sponsor Bank notified late",IF(AND(K421&lt;&gt;"",K421&lt;&gt;"None",Q421=""),"Enter the legal deadline",IF(AND(S421&lt;&gt;"",OR(T421="",V421="")),"Record outcome and root cause",IF(AND(P421="",S421="",Settings!$B$4&gt;O421),"Acknowledgment overdue",""))))))))</f>
        <v/>
      </c>
    </row>
    <row r="422" ht="15.75" customHeight="1" s="31">
      <c r="A422" s="44" t="n"/>
      <c r="B422" s="45" t="n"/>
      <c r="C422" s="45" t="n"/>
      <c r="D422" s="44" t="n"/>
      <c r="E422" s="44" t="n"/>
      <c r="F422" s="44" t="n"/>
      <c r="G422" s="44" t="n"/>
      <c r="H422" s="44" t="n"/>
      <c r="I422" s="44" t="n"/>
      <c r="J422" s="44" t="n"/>
      <c r="K422" s="44" t="n"/>
      <c r="L422" s="41">
        <f>IF(B422="","",IF(OR(COUNTIF(Settings!$E$4:$E$9,D422)&gt;0,I422="Yes",J422="Yes",K422="Fair lending allegation"),"Escalated","Standard"))</f>
        <v/>
      </c>
      <c r="M422" s="45" t="n"/>
      <c r="N422" s="45" t="n"/>
      <c r="O422" s="42">
        <f>IF(B422="","",WORKDAY(B422,Settings!$B$7))</f>
        <v/>
      </c>
      <c r="P422" s="45" t="n"/>
      <c r="Q422" s="45" t="n"/>
      <c r="R422" s="42">
        <f>IF(B422="","",IF(Q422&lt;&gt;"",MIN(Q422,IF(L422="Escalated",B422+Settings!$B$9,WORKDAY(B422,Settings!$B$8))),IF(L422="Escalated",B422+Settings!$B$9,WORKDAY(B422,Settings!$B$8))))</f>
        <v/>
      </c>
      <c r="S422" s="45" t="n"/>
      <c r="T422" s="44" t="n"/>
      <c r="U422" s="46" t="n"/>
      <c r="V422" s="44" t="n"/>
      <c r="W422" s="44" t="n"/>
      <c r="X422" s="44" t="n"/>
      <c r="Y422" s="41">
        <f>IF(B422="","",IF(S422&lt;&gt;"",S422,Settings!$B$4)-B422)</f>
        <v/>
      </c>
      <c r="Z422" s="41">
        <f>IF(B422="","",IF(S422&lt;&gt;"",IF(S422&gt;R422,"Closed late","Closed on time"),IF(Settings!$B$4&gt;R422,"Open: overdue","Open")))</f>
        <v/>
      </c>
      <c r="AA422" s="41">
        <f>IF(B422="","",IF(NETWORKDAYS(B422,C422)-1&gt;Settings!$B$5,"Logged late",IF(AND(L422="Escalated",M422=""),"Escalate to Compliance",IF(AND(L422="Escalated",N422=""),"Notify Sponsor Bank",IF(AND(L422="Escalated",N422&lt;&gt;"",NETWORKDAYS(B422,N422)-1&gt;Settings!$B$10),"Sponsor Bank notified late",IF(AND(K422&lt;&gt;"",K422&lt;&gt;"None",Q422=""),"Enter the legal deadline",IF(AND(S422&lt;&gt;"",OR(T422="",V422="")),"Record outcome and root cause",IF(AND(P422="",S422="",Settings!$B$4&gt;O422),"Acknowledgment overdue",""))))))))</f>
        <v/>
      </c>
    </row>
    <row r="423" ht="15.75" customHeight="1" s="31">
      <c r="A423" s="44" t="n"/>
      <c r="B423" s="45" t="n"/>
      <c r="C423" s="45" t="n"/>
      <c r="D423" s="44" t="n"/>
      <c r="E423" s="44" t="n"/>
      <c r="F423" s="44" t="n"/>
      <c r="G423" s="44" t="n"/>
      <c r="H423" s="44" t="n"/>
      <c r="I423" s="44" t="n"/>
      <c r="J423" s="44" t="n"/>
      <c r="K423" s="44" t="n"/>
      <c r="L423" s="41">
        <f>IF(B423="","",IF(OR(COUNTIF(Settings!$E$4:$E$9,D423)&gt;0,I423="Yes",J423="Yes",K423="Fair lending allegation"),"Escalated","Standard"))</f>
        <v/>
      </c>
      <c r="M423" s="45" t="n"/>
      <c r="N423" s="45" t="n"/>
      <c r="O423" s="42">
        <f>IF(B423="","",WORKDAY(B423,Settings!$B$7))</f>
        <v/>
      </c>
      <c r="P423" s="45" t="n"/>
      <c r="Q423" s="45" t="n"/>
      <c r="R423" s="42">
        <f>IF(B423="","",IF(Q423&lt;&gt;"",MIN(Q423,IF(L423="Escalated",B423+Settings!$B$9,WORKDAY(B423,Settings!$B$8))),IF(L423="Escalated",B423+Settings!$B$9,WORKDAY(B423,Settings!$B$8))))</f>
        <v/>
      </c>
      <c r="S423" s="45" t="n"/>
      <c r="T423" s="44" t="n"/>
      <c r="U423" s="46" t="n"/>
      <c r="V423" s="44" t="n"/>
      <c r="W423" s="44" t="n"/>
      <c r="X423" s="44" t="n"/>
      <c r="Y423" s="41">
        <f>IF(B423="","",IF(S423&lt;&gt;"",S423,Settings!$B$4)-B423)</f>
        <v/>
      </c>
      <c r="Z423" s="41">
        <f>IF(B423="","",IF(S423&lt;&gt;"",IF(S423&gt;R423,"Closed late","Closed on time"),IF(Settings!$B$4&gt;R423,"Open: overdue","Open")))</f>
        <v/>
      </c>
      <c r="AA423" s="41">
        <f>IF(B423="","",IF(NETWORKDAYS(B423,C423)-1&gt;Settings!$B$5,"Logged late",IF(AND(L423="Escalated",M423=""),"Escalate to Compliance",IF(AND(L423="Escalated",N423=""),"Notify Sponsor Bank",IF(AND(L423="Escalated",N423&lt;&gt;"",NETWORKDAYS(B423,N423)-1&gt;Settings!$B$10),"Sponsor Bank notified late",IF(AND(K423&lt;&gt;"",K423&lt;&gt;"None",Q423=""),"Enter the legal deadline",IF(AND(S423&lt;&gt;"",OR(T423="",V423="")),"Record outcome and root cause",IF(AND(P423="",S423="",Settings!$B$4&gt;O423),"Acknowledgment overdue",""))))))))</f>
        <v/>
      </c>
    </row>
    <row r="424" ht="15.75" customHeight="1" s="31">
      <c r="A424" s="44" t="n"/>
      <c r="B424" s="45" t="n"/>
      <c r="C424" s="45" t="n"/>
      <c r="D424" s="44" t="n"/>
      <c r="E424" s="44" t="n"/>
      <c r="F424" s="44" t="n"/>
      <c r="G424" s="44" t="n"/>
      <c r="H424" s="44" t="n"/>
      <c r="I424" s="44" t="n"/>
      <c r="J424" s="44" t="n"/>
      <c r="K424" s="44" t="n"/>
      <c r="L424" s="41">
        <f>IF(B424="","",IF(OR(COUNTIF(Settings!$E$4:$E$9,D424)&gt;0,I424="Yes",J424="Yes",K424="Fair lending allegation"),"Escalated","Standard"))</f>
        <v/>
      </c>
      <c r="M424" s="45" t="n"/>
      <c r="N424" s="45" t="n"/>
      <c r="O424" s="42">
        <f>IF(B424="","",WORKDAY(B424,Settings!$B$7))</f>
        <v/>
      </c>
      <c r="P424" s="45" t="n"/>
      <c r="Q424" s="45" t="n"/>
      <c r="R424" s="42">
        <f>IF(B424="","",IF(Q424&lt;&gt;"",MIN(Q424,IF(L424="Escalated",B424+Settings!$B$9,WORKDAY(B424,Settings!$B$8))),IF(L424="Escalated",B424+Settings!$B$9,WORKDAY(B424,Settings!$B$8))))</f>
        <v/>
      </c>
      <c r="S424" s="45" t="n"/>
      <c r="T424" s="44" t="n"/>
      <c r="U424" s="46" t="n"/>
      <c r="V424" s="44" t="n"/>
      <c r="W424" s="44" t="n"/>
      <c r="X424" s="44" t="n"/>
      <c r="Y424" s="41">
        <f>IF(B424="","",IF(S424&lt;&gt;"",S424,Settings!$B$4)-B424)</f>
        <v/>
      </c>
      <c r="Z424" s="41">
        <f>IF(B424="","",IF(S424&lt;&gt;"",IF(S424&gt;R424,"Closed late","Closed on time"),IF(Settings!$B$4&gt;R424,"Open: overdue","Open")))</f>
        <v/>
      </c>
      <c r="AA424" s="41">
        <f>IF(B424="","",IF(NETWORKDAYS(B424,C424)-1&gt;Settings!$B$5,"Logged late",IF(AND(L424="Escalated",M424=""),"Escalate to Compliance",IF(AND(L424="Escalated",N424=""),"Notify Sponsor Bank",IF(AND(L424="Escalated",N424&lt;&gt;"",NETWORKDAYS(B424,N424)-1&gt;Settings!$B$10),"Sponsor Bank notified late",IF(AND(K424&lt;&gt;"",K424&lt;&gt;"None",Q424=""),"Enter the legal deadline",IF(AND(S424&lt;&gt;"",OR(T424="",V424="")),"Record outcome and root cause",IF(AND(P424="",S424="",Settings!$B$4&gt;O424),"Acknowledgment overdue",""))))))))</f>
        <v/>
      </c>
    </row>
    <row r="425" ht="15.75" customHeight="1" s="31">
      <c r="A425" s="44" t="n"/>
      <c r="B425" s="45" t="n"/>
      <c r="C425" s="45" t="n"/>
      <c r="D425" s="44" t="n"/>
      <c r="E425" s="44" t="n"/>
      <c r="F425" s="44" t="n"/>
      <c r="G425" s="44" t="n"/>
      <c r="H425" s="44" t="n"/>
      <c r="I425" s="44" t="n"/>
      <c r="J425" s="44" t="n"/>
      <c r="K425" s="44" t="n"/>
      <c r="L425" s="41">
        <f>IF(B425="","",IF(OR(COUNTIF(Settings!$E$4:$E$9,D425)&gt;0,I425="Yes",J425="Yes",K425="Fair lending allegation"),"Escalated","Standard"))</f>
        <v/>
      </c>
      <c r="M425" s="45" t="n"/>
      <c r="N425" s="45" t="n"/>
      <c r="O425" s="42">
        <f>IF(B425="","",WORKDAY(B425,Settings!$B$7))</f>
        <v/>
      </c>
      <c r="P425" s="45" t="n"/>
      <c r="Q425" s="45" t="n"/>
      <c r="R425" s="42">
        <f>IF(B425="","",IF(Q425&lt;&gt;"",MIN(Q425,IF(L425="Escalated",B425+Settings!$B$9,WORKDAY(B425,Settings!$B$8))),IF(L425="Escalated",B425+Settings!$B$9,WORKDAY(B425,Settings!$B$8))))</f>
        <v/>
      </c>
      <c r="S425" s="45" t="n"/>
      <c r="T425" s="44" t="n"/>
      <c r="U425" s="46" t="n"/>
      <c r="V425" s="44" t="n"/>
      <c r="W425" s="44" t="n"/>
      <c r="X425" s="44" t="n"/>
      <c r="Y425" s="41">
        <f>IF(B425="","",IF(S425&lt;&gt;"",S425,Settings!$B$4)-B425)</f>
        <v/>
      </c>
      <c r="Z425" s="41">
        <f>IF(B425="","",IF(S425&lt;&gt;"",IF(S425&gt;R425,"Closed late","Closed on time"),IF(Settings!$B$4&gt;R425,"Open: overdue","Open")))</f>
        <v/>
      </c>
      <c r="AA425" s="41">
        <f>IF(B425="","",IF(NETWORKDAYS(B425,C425)-1&gt;Settings!$B$5,"Logged late",IF(AND(L425="Escalated",M425=""),"Escalate to Compliance",IF(AND(L425="Escalated",N425=""),"Notify Sponsor Bank",IF(AND(L425="Escalated",N425&lt;&gt;"",NETWORKDAYS(B425,N425)-1&gt;Settings!$B$10),"Sponsor Bank notified late",IF(AND(K425&lt;&gt;"",K425&lt;&gt;"None",Q425=""),"Enter the legal deadline",IF(AND(S425&lt;&gt;"",OR(T425="",V425="")),"Record outcome and root cause",IF(AND(P425="",S425="",Settings!$B$4&gt;O425),"Acknowledgment overdue",""))))))))</f>
        <v/>
      </c>
    </row>
    <row r="426" ht="15.75" customHeight="1" s="31">
      <c r="A426" s="44" t="n"/>
      <c r="B426" s="45" t="n"/>
      <c r="C426" s="45" t="n"/>
      <c r="D426" s="44" t="n"/>
      <c r="E426" s="44" t="n"/>
      <c r="F426" s="44" t="n"/>
      <c r="G426" s="44" t="n"/>
      <c r="H426" s="44" t="n"/>
      <c r="I426" s="44" t="n"/>
      <c r="J426" s="44" t="n"/>
      <c r="K426" s="44" t="n"/>
      <c r="L426" s="41">
        <f>IF(B426="","",IF(OR(COUNTIF(Settings!$E$4:$E$9,D426)&gt;0,I426="Yes",J426="Yes",K426="Fair lending allegation"),"Escalated","Standard"))</f>
        <v/>
      </c>
      <c r="M426" s="45" t="n"/>
      <c r="N426" s="45" t="n"/>
      <c r="O426" s="42">
        <f>IF(B426="","",WORKDAY(B426,Settings!$B$7))</f>
        <v/>
      </c>
      <c r="P426" s="45" t="n"/>
      <c r="Q426" s="45" t="n"/>
      <c r="R426" s="42">
        <f>IF(B426="","",IF(Q426&lt;&gt;"",MIN(Q426,IF(L426="Escalated",B426+Settings!$B$9,WORKDAY(B426,Settings!$B$8))),IF(L426="Escalated",B426+Settings!$B$9,WORKDAY(B426,Settings!$B$8))))</f>
        <v/>
      </c>
      <c r="S426" s="45" t="n"/>
      <c r="T426" s="44" t="n"/>
      <c r="U426" s="46" t="n"/>
      <c r="V426" s="44" t="n"/>
      <c r="W426" s="44" t="n"/>
      <c r="X426" s="44" t="n"/>
      <c r="Y426" s="41">
        <f>IF(B426="","",IF(S426&lt;&gt;"",S426,Settings!$B$4)-B426)</f>
        <v/>
      </c>
      <c r="Z426" s="41">
        <f>IF(B426="","",IF(S426&lt;&gt;"",IF(S426&gt;R426,"Closed late","Closed on time"),IF(Settings!$B$4&gt;R426,"Open: overdue","Open")))</f>
        <v/>
      </c>
      <c r="AA426" s="41">
        <f>IF(B426="","",IF(NETWORKDAYS(B426,C426)-1&gt;Settings!$B$5,"Logged late",IF(AND(L426="Escalated",M426=""),"Escalate to Compliance",IF(AND(L426="Escalated",N426=""),"Notify Sponsor Bank",IF(AND(L426="Escalated",N426&lt;&gt;"",NETWORKDAYS(B426,N426)-1&gt;Settings!$B$10),"Sponsor Bank notified late",IF(AND(K426&lt;&gt;"",K426&lt;&gt;"None",Q426=""),"Enter the legal deadline",IF(AND(S426&lt;&gt;"",OR(T426="",V426="")),"Record outcome and root cause",IF(AND(P426="",S426="",Settings!$B$4&gt;O426),"Acknowledgment overdue",""))))))))</f>
        <v/>
      </c>
    </row>
    <row r="427" ht="15.75" customHeight="1" s="31">
      <c r="A427" s="44" t="n"/>
      <c r="B427" s="45" t="n"/>
      <c r="C427" s="45" t="n"/>
      <c r="D427" s="44" t="n"/>
      <c r="E427" s="44" t="n"/>
      <c r="F427" s="44" t="n"/>
      <c r="G427" s="44" t="n"/>
      <c r="H427" s="44" t="n"/>
      <c r="I427" s="44" t="n"/>
      <c r="J427" s="44" t="n"/>
      <c r="K427" s="44" t="n"/>
      <c r="L427" s="41">
        <f>IF(B427="","",IF(OR(COUNTIF(Settings!$E$4:$E$9,D427)&gt;0,I427="Yes",J427="Yes",K427="Fair lending allegation"),"Escalated","Standard"))</f>
        <v/>
      </c>
      <c r="M427" s="45" t="n"/>
      <c r="N427" s="45" t="n"/>
      <c r="O427" s="42">
        <f>IF(B427="","",WORKDAY(B427,Settings!$B$7))</f>
        <v/>
      </c>
      <c r="P427" s="45" t="n"/>
      <c r="Q427" s="45" t="n"/>
      <c r="R427" s="42">
        <f>IF(B427="","",IF(Q427&lt;&gt;"",MIN(Q427,IF(L427="Escalated",B427+Settings!$B$9,WORKDAY(B427,Settings!$B$8))),IF(L427="Escalated",B427+Settings!$B$9,WORKDAY(B427,Settings!$B$8))))</f>
        <v/>
      </c>
      <c r="S427" s="45" t="n"/>
      <c r="T427" s="44" t="n"/>
      <c r="U427" s="46" t="n"/>
      <c r="V427" s="44" t="n"/>
      <c r="W427" s="44" t="n"/>
      <c r="X427" s="44" t="n"/>
      <c r="Y427" s="41">
        <f>IF(B427="","",IF(S427&lt;&gt;"",S427,Settings!$B$4)-B427)</f>
        <v/>
      </c>
      <c r="Z427" s="41">
        <f>IF(B427="","",IF(S427&lt;&gt;"",IF(S427&gt;R427,"Closed late","Closed on time"),IF(Settings!$B$4&gt;R427,"Open: overdue","Open")))</f>
        <v/>
      </c>
      <c r="AA427" s="41">
        <f>IF(B427="","",IF(NETWORKDAYS(B427,C427)-1&gt;Settings!$B$5,"Logged late",IF(AND(L427="Escalated",M427=""),"Escalate to Compliance",IF(AND(L427="Escalated",N427=""),"Notify Sponsor Bank",IF(AND(L427="Escalated",N427&lt;&gt;"",NETWORKDAYS(B427,N427)-1&gt;Settings!$B$10),"Sponsor Bank notified late",IF(AND(K427&lt;&gt;"",K427&lt;&gt;"None",Q427=""),"Enter the legal deadline",IF(AND(S427&lt;&gt;"",OR(T427="",V427="")),"Record outcome and root cause",IF(AND(P427="",S427="",Settings!$B$4&gt;O427),"Acknowledgment overdue",""))))))))</f>
        <v/>
      </c>
    </row>
    <row r="428" ht="15.75" customHeight="1" s="31">
      <c r="A428" s="44" t="n"/>
      <c r="B428" s="45" t="n"/>
      <c r="C428" s="45" t="n"/>
      <c r="D428" s="44" t="n"/>
      <c r="E428" s="44" t="n"/>
      <c r="F428" s="44" t="n"/>
      <c r="G428" s="44" t="n"/>
      <c r="H428" s="44" t="n"/>
      <c r="I428" s="44" t="n"/>
      <c r="J428" s="44" t="n"/>
      <c r="K428" s="44" t="n"/>
      <c r="L428" s="41">
        <f>IF(B428="","",IF(OR(COUNTIF(Settings!$E$4:$E$9,D428)&gt;0,I428="Yes",J428="Yes",K428="Fair lending allegation"),"Escalated","Standard"))</f>
        <v/>
      </c>
      <c r="M428" s="45" t="n"/>
      <c r="N428" s="45" t="n"/>
      <c r="O428" s="42">
        <f>IF(B428="","",WORKDAY(B428,Settings!$B$7))</f>
        <v/>
      </c>
      <c r="P428" s="45" t="n"/>
      <c r="Q428" s="45" t="n"/>
      <c r="R428" s="42">
        <f>IF(B428="","",IF(Q428&lt;&gt;"",MIN(Q428,IF(L428="Escalated",B428+Settings!$B$9,WORKDAY(B428,Settings!$B$8))),IF(L428="Escalated",B428+Settings!$B$9,WORKDAY(B428,Settings!$B$8))))</f>
        <v/>
      </c>
      <c r="S428" s="45" t="n"/>
      <c r="T428" s="44" t="n"/>
      <c r="U428" s="46" t="n"/>
      <c r="V428" s="44" t="n"/>
      <c r="W428" s="44" t="n"/>
      <c r="X428" s="44" t="n"/>
      <c r="Y428" s="41">
        <f>IF(B428="","",IF(S428&lt;&gt;"",S428,Settings!$B$4)-B428)</f>
        <v/>
      </c>
      <c r="Z428" s="41">
        <f>IF(B428="","",IF(S428&lt;&gt;"",IF(S428&gt;R428,"Closed late","Closed on time"),IF(Settings!$B$4&gt;R428,"Open: overdue","Open")))</f>
        <v/>
      </c>
      <c r="AA428" s="41">
        <f>IF(B428="","",IF(NETWORKDAYS(B428,C428)-1&gt;Settings!$B$5,"Logged late",IF(AND(L428="Escalated",M428=""),"Escalate to Compliance",IF(AND(L428="Escalated",N428=""),"Notify Sponsor Bank",IF(AND(L428="Escalated",N428&lt;&gt;"",NETWORKDAYS(B428,N428)-1&gt;Settings!$B$10),"Sponsor Bank notified late",IF(AND(K428&lt;&gt;"",K428&lt;&gt;"None",Q428=""),"Enter the legal deadline",IF(AND(S428&lt;&gt;"",OR(T428="",V428="")),"Record outcome and root cause",IF(AND(P428="",S428="",Settings!$B$4&gt;O428),"Acknowledgment overdue",""))))))))</f>
        <v/>
      </c>
    </row>
    <row r="429" ht="15.75" customHeight="1" s="31">
      <c r="A429" s="44" t="n"/>
      <c r="B429" s="45" t="n"/>
      <c r="C429" s="45" t="n"/>
      <c r="D429" s="44" t="n"/>
      <c r="E429" s="44" t="n"/>
      <c r="F429" s="44" t="n"/>
      <c r="G429" s="44" t="n"/>
      <c r="H429" s="44" t="n"/>
      <c r="I429" s="44" t="n"/>
      <c r="J429" s="44" t="n"/>
      <c r="K429" s="44" t="n"/>
      <c r="L429" s="41">
        <f>IF(B429="","",IF(OR(COUNTIF(Settings!$E$4:$E$9,D429)&gt;0,I429="Yes",J429="Yes",K429="Fair lending allegation"),"Escalated","Standard"))</f>
        <v/>
      </c>
      <c r="M429" s="45" t="n"/>
      <c r="N429" s="45" t="n"/>
      <c r="O429" s="42">
        <f>IF(B429="","",WORKDAY(B429,Settings!$B$7))</f>
        <v/>
      </c>
      <c r="P429" s="45" t="n"/>
      <c r="Q429" s="45" t="n"/>
      <c r="R429" s="42">
        <f>IF(B429="","",IF(Q429&lt;&gt;"",MIN(Q429,IF(L429="Escalated",B429+Settings!$B$9,WORKDAY(B429,Settings!$B$8))),IF(L429="Escalated",B429+Settings!$B$9,WORKDAY(B429,Settings!$B$8))))</f>
        <v/>
      </c>
      <c r="S429" s="45" t="n"/>
      <c r="T429" s="44" t="n"/>
      <c r="U429" s="46" t="n"/>
      <c r="V429" s="44" t="n"/>
      <c r="W429" s="44" t="n"/>
      <c r="X429" s="44" t="n"/>
      <c r="Y429" s="41">
        <f>IF(B429="","",IF(S429&lt;&gt;"",S429,Settings!$B$4)-B429)</f>
        <v/>
      </c>
      <c r="Z429" s="41">
        <f>IF(B429="","",IF(S429&lt;&gt;"",IF(S429&gt;R429,"Closed late","Closed on time"),IF(Settings!$B$4&gt;R429,"Open: overdue","Open")))</f>
        <v/>
      </c>
      <c r="AA429" s="41">
        <f>IF(B429="","",IF(NETWORKDAYS(B429,C429)-1&gt;Settings!$B$5,"Logged late",IF(AND(L429="Escalated",M429=""),"Escalate to Compliance",IF(AND(L429="Escalated",N429=""),"Notify Sponsor Bank",IF(AND(L429="Escalated",N429&lt;&gt;"",NETWORKDAYS(B429,N429)-1&gt;Settings!$B$10),"Sponsor Bank notified late",IF(AND(K429&lt;&gt;"",K429&lt;&gt;"None",Q429=""),"Enter the legal deadline",IF(AND(S429&lt;&gt;"",OR(T429="",V429="")),"Record outcome and root cause",IF(AND(P429="",S429="",Settings!$B$4&gt;O429),"Acknowledgment overdue",""))))))))</f>
        <v/>
      </c>
    </row>
    <row r="430" ht="15.75" customHeight="1" s="31">
      <c r="A430" s="44" t="n"/>
      <c r="B430" s="45" t="n"/>
      <c r="C430" s="45" t="n"/>
      <c r="D430" s="44" t="n"/>
      <c r="E430" s="44" t="n"/>
      <c r="F430" s="44" t="n"/>
      <c r="G430" s="44" t="n"/>
      <c r="H430" s="44" t="n"/>
      <c r="I430" s="44" t="n"/>
      <c r="J430" s="44" t="n"/>
      <c r="K430" s="44" t="n"/>
      <c r="L430" s="41">
        <f>IF(B430="","",IF(OR(COUNTIF(Settings!$E$4:$E$9,D430)&gt;0,I430="Yes",J430="Yes",K430="Fair lending allegation"),"Escalated","Standard"))</f>
        <v/>
      </c>
      <c r="M430" s="45" t="n"/>
      <c r="N430" s="45" t="n"/>
      <c r="O430" s="42">
        <f>IF(B430="","",WORKDAY(B430,Settings!$B$7))</f>
        <v/>
      </c>
      <c r="P430" s="45" t="n"/>
      <c r="Q430" s="45" t="n"/>
      <c r="R430" s="42">
        <f>IF(B430="","",IF(Q430&lt;&gt;"",MIN(Q430,IF(L430="Escalated",B430+Settings!$B$9,WORKDAY(B430,Settings!$B$8))),IF(L430="Escalated",B430+Settings!$B$9,WORKDAY(B430,Settings!$B$8))))</f>
        <v/>
      </c>
      <c r="S430" s="45" t="n"/>
      <c r="T430" s="44" t="n"/>
      <c r="U430" s="46" t="n"/>
      <c r="V430" s="44" t="n"/>
      <c r="W430" s="44" t="n"/>
      <c r="X430" s="44" t="n"/>
      <c r="Y430" s="41">
        <f>IF(B430="","",IF(S430&lt;&gt;"",S430,Settings!$B$4)-B430)</f>
        <v/>
      </c>
      <c r="Z430" s="41">
        <f>IF(B430="","",IF(S430&lt;&gt;"",IF(S430&gt;R430,"Closed late","Closed on time"),IF(Settings!$B$4&gt;R430,"Open: overdue","Open")))</f>
        <v/>
      </c>
      <c r="AA430" s="41">
        <f>IF(B430="","",IF(NETWORKDAYS(B430,C430)-1&gt;Settings!$B$5,"Logged late",IF(AND(L430="Escalated",M430=""),"Escalate to Compliance",IF(AND(L430="Escalated",N430=""),"Notify Sponsor Bank",IF(AND(L430="Escalated",N430&lt;&gt;"",NETWORKDAYS(B430,N430)-1&gt;Settings!$B$10),"Sponsor Bank notified late",IF(AND(K430&lt;&gt;"",K430&lt;&gt;"None",Q430=""),"Enter the legal deadline",IF(AND(S430&lt;&gt;"",OR(T430="",V430="")),"Record outcome and root cause",IF(AND(P430="",S430="",Settings!$B$4&gt;O430),"Acknowledgment overdue",""))))))))</f>
        <v/>
      </c>
    </row>
    <row r="431" ht="15.75" customHeight="1" s="31">
      <c r="A431" s="44" t="n"/>
      <c r="B431" s="45" t="n"/>
      <c r="C431" s="45" t="n"/>
      <c r="D431" s="44" t="n"/>
      <c r="E431" s="44" t="n"/>
      <c r="F431" s="44" t="n"/>
      <c r="G431" s="44" t="n"/>
      <c r="H431" s="44" t="n"/>
      <c r="I431" s="44" t="n"/>
      <c r="J431" s="44" t="n"/>
      <c r="K431" s="44" t="n"/>
      <c r="L431" s="41">
        <f>IF(B431="","",IF(OR(COUNTIF(Settings!$E$4:$E$9,D431)&gt;0,I431="Yes",J431="Yes",K431="Fair lending allegation"),"Escalated","Standard"))</f>
        <v/>
      </c>
      <c r="M431" s="45" t="n"/>
      <c r="N431" s="45" t="n"/>
      <c r="O431" s="42">
        <f>IF(B431="","",WORKDAY(B431,Settings!$B$7))</f>
        <v/>
      </c>
      <c r="P431" s="45" t="n"/>
      <c r="Q431" s="45" t="n"/>
      <c r="R431" s="42">
        <f>IF(B431="","",IF(Q431&lt;&gt;"",MIN(Q431,IF(L431="Escalated",B431+Settings!$B$9,WORKDAY(B431,Settings!$B$8))),IF(L431="Escalated",B431+Settings!$B$9,WORKDAY(B431,Settings!$B$8))))</f>
        <v/>
      </c>
      <c r="S431" s="45" t="n"/>
      <c r="T431" s="44" t="n"/>
      <c r="U431" s="46" t="n"/>
      <c r="V431" s="44" t="n"/>
      <c r="W431" s="44" t="n"/>
      <c r="X431" s="44" t="n"/>
      <c r="Y431" s="41">
        <f>IF(B431="","",IF(S431&lt;&gt;"",S431,Settings!$B$4)-B431)</f>
        <v/>
      </c>
      <c r="Z431" s="41">
        <f>IF(B431="","",IF(S431&lt;&gt;"",IF(S431&gt;R431,"Closed late","Closed on time"),IF(Settings!$B$4&gt;R431,"Open: overdue","Open")))</f>
        <v/>
      </c>
      <c r="AA431" s="41">
        <f>IF(B431="","",IF(NETWORKDAYS(B431,C431)-1&gt;Settings!$B$5,"Logged late",IF(AND(L431="Escalated",M431=""),"Escalate to Compliance",IF(AND(L431="Escalated",N431=""),"Notify Sponsor Bank",IF(AND(L431="Escalated",N431&lt;&gt;"",NETWORKDAYS(B431,N431)-1&gt;Settings!$B$10),"Sponsor Bank notified late",IF(AND(K431&lt;&gt;"",K431&lt;&gt;"None",Q431=""),"Enter the legal deadline",IF(AND(S431&lt;&gt;"",OR(T431="",V431="")),"Record outcome and root cause",IF(AND(P431="",S431="",Settings!$B$4&gt;O431),"Acknowledgment overdue",""))))))))</f>
        <v/>
      </c>
    </row>
    <row r="432" ht="15.75" customHeight="1" s="31">
      <c r="A432" s="44" t="n"/>
      <c r="B432" s="45" t="n"/>
      <c r="C432" s="45" t="n"/>
      <c r="D432" s="44" t="n"/>
      <c r="E432" s="44" t="n"/>
      <c r="F432" s="44" t="n"/>
      <c r="G432" s="44" t="n"/>
      <c r="H432" s="44" t="n"/>
      <c r="I432" s="44" t="n"/>
      <c r="J432" s="44" t="n"/>
      <c r="K432" s="44" t="n"/>
      <c r="L432" s="41">
        <f>IF(B432="","",IF(OR(COUNTIF(Settings!$E$4:$E$9,D432)&gt;0,I432="Yes",J432="Yes",K432="Fair lending allegation"),"Escalated","Standard"))</f>
        <v/>
      </c>
      <c r="M432" s="45" t="n"/>
      <c r="N432" s="45" t="n"/>
      <c r="O432" s="42">
        <f>IF(B432="","",WORKDAY(B432,Settings!$B$7))</f>
        <v/>
      </c>
      <c r="P432" s="45" t="n"/>
      <c r="Q432" s="45" t="n"/>
      <c r="R432" s="42">
        <f>IF(B432="","",IF(Q432&lt;&gt;"",MIN(Q432,IF(L432="Escalated",B432+Settings!$B$9,WORKDAY(B432,Settings!$B$8))),IF(L432="Escalated",B432+Settings!$B$9,WORKDAY(B432,Settings!$B$8))))</f>
        <v/>
      </c>
      <c r="S432" s="45" t="n"/>
      <c r="T432" s="44" t="n"/>
      <c r="U432" s="46" t="n"/>
      <c r="V432" s="44" t="n"/>
      <c r="W432" s="44" t="n"/>
      <c r="X432" s="44" t="n"/>
      <c r="Y432" s="41">
        <f>IF(B432="","",IF(S432&lt;&gt;"",S432,Settings!$B$4)-B432)</f>
        <v/>
      </c>
      <c r="Z432" s="41">
        <f>IF(B432="","",IF(S432&lt;&gt;"",IF(S432&gt;R432,"Closed late","Closed on time"),IF(Settings!$B$4&gt;R432,"Open: overdue","Open")))</f>
        <v/>
      </c>
      <c r="AA432" s="41">
        <f>IF(B432="","",IF(NETWORKDAYS(B432,C432)-1&gt;Settings!$B$5,"Logged late",IF(AND(L432="Escalated",M432=""),"Escalate to Compliance",IF(AND(L432="Escalated",N432=""),"Notify Sponsor Bank",IF(AND(L432="Escalated",N432&lt;&gt;"",NETWORKDAYS(B432,N432)-1&gt;Settings!$B$10),"Sponsor Bank notified late",IF(AND(K432&lt;&gt;"",K432&lt;&gt;"None",Q432=""),"Enter the legal deadline",IF(AND(S432&lt;&gt;"",OR(T432="",V432="")),"Record outcome and root cause",IF(AND(P432="",S432="",Settings!$B$4&gt;O432),"Acknowledgment overdue",""))))))))</f>
        <v/>
      </c>
    </row>
    <row r="433" ht="15.75" customHeight="1" s="31">
      <c r="A433" s="44" t="n"/>
      <c r="B433" s="45" t="n"/>
      <c r="C433" s="45" t="n"/>
      <c r="D433" s="44" t="n"/>
      <c r="E433" s="44" t="n"/>
      <c r="F433" s="44" t="n"/>
      <c r="G433" s="44" t="n"/>
      <c r="H433" s="44" t="n"/>
      <c r="I433" s="44" t="n"/>
      <c r="J433" s="44" t="n"/>
      <c r="K433" s="44" t="n"/>
      <c r="L433" s="41">
        <f>IF(B433="","",IF(OR(COUNTIF(Settings!$E$4:$E$9,D433)&gt;0,I433="Yes",J433="Yes",K433="Fair lending allegation"),"Escalated","Standard"))</f>
        <v/>
      </c>
      <c r="M433" s="45" t="n"/>
      <c r="N433" s="45" t="n"/>
      <c r="O433" s="42">
        <f>IF(B433="","",WORKDAY(B433,Settings!$B$7))</f>
        <v/>
      </c>
      <c r="P433" s="45" t="n"/>
      <c r="Q433" s="45" t="n"/>
      <c r="R433" s="42">
        <f>IF(B433="","",IF(Q433&lt;&gt;"",MIN(Q433,IF(L433="Escalated",B433+Settings!$B$9,WORKDAY(B433,Settings!$B$8))),IF(L433="Escalated",B433+Settings!$B$9,WORKDAY(B433,Settings!$B$8))))</f>
        <v/>
      </c>
      <c r="S433" s="45" t="n"/>
      <c r="T433" s="44" t="n"/>
      <c r="U433" s="46" t="n"/>
      <c r="V433" s="44" t="n"/>
      <c r="W433" s="44" t="n"/>
      <c r="X433" s="44" t="n"/>
      <c r="Y433" s="41">
        <f>IF(B433="","",IF(S433&lt;&gt;"",S433,Settings!$B$4)-B433)</f>
        <v/>
      </c>
      <c r="Z433" s="41">
        <f>IF(B433="","",IF(S433&lt;&gt;"",IF(S433&gt;R433,"Closed late","Closed on time"),IF(Settings!$B$4&gt;R433,"Open: overdue","Open")))</f>
        <v/>
      </c>
      <c r="AA433" s="41">
        <f>IF(B433="","",IF(NETWORKDAYS(B433,C433)-1&gt;Settings!$B$5,"Logged late",IF(AND(L433="Escalated",M433=""),"Escalate to Compliance",IF(AND(L433="Escalated",N433=""),"Notify Sponsor Bank",IF(AND(L433="Escalated",N433&lt;&gt;"",NETWORKDAYS(B433,N433)-1&gt;Settings!$B$10),"Sponsor Bank notified late",IF(AND(K433&lt;&gt;"",K433&lt;&gt;"None",Q433=""),"Enter the legal deadline",IF(AND(S433&lt;&gt;"",OR(T433="",V433="")),"Record outcome and root cause",IF(AND(P433="",S433="",Settings!$B$4&gt;O433),"Acknowledgment overdue",""))))))))</f>
        <v/>
      </c>
    </row>
    <row r="434" ht="15.75" customHeight="1" s="31">
      <c r="A434" s="44" t="n"/>
      <c r="B434" s="45" t="n"/>
      <c r="C434" s="45" t="n"/>
      <c r="D434" s="44" t="n"/>
      <c r="E434" s="44" t="n"/>
      <c r="F434" s="44" t="n"/>
      <c r="G434" s="44" t="n"/>
      <c r="H434" s="44" t="n"/>
      <c r="I434" s="44" t="n"/>
      <c r="J434" s="44" t="n"/>
      <c r="K434" s="44" t="n"/>
      <c r="L434" s="41">
        <f>IF(B434="","",IF(OR(COUNTIF(Settings!$E$4:$E$9,D434)&gt;0,I434="Yes",J434="Yes",K434="Fair lending allegation"),"Escalated","Standard"))</f>
        <v/>
      </c>
      <c r="M434" s="45" t="n"/>
      <c r="N434" s="45" t="n"/>
      <c r="O434" s="42">
        <f>IF(B434="","",WORKDAY(B434,Settings!$B$7))</f>
        <v/>
      </c>
      <c r="P434" s="45" t="n"/>
      <c r="Q434" s="45" t="n"/>
      <c r="R434" s="42">
        <f>IF(B434="","",IF(Q434&lt;&gt;"",MIN(Q434,IF(L434="Escalated",B434+Settings!$B$9,WORKDAY(B434,Settings!$B$8))),IF(L434="Escalated",B434+Settings!$B$9,WORKDAY(B434,Settings!$B$8))))</f>
        <v/>
      </c>
      <c r="S434" s="45" t="n"/>
      <c r="T434" s="44" t="n"/>
      <c r="U434" s="46" t="n"/>
      <c r="V434" s="44" t="n"/>
      <c r="W434" s="44" t="n"/>
      <c r="X434" s="44" t="n"/>
      <c r="Y434" s="41">
        <f>IF(B434="","",IF(S434&lt;&gt;"",S434,Settings!$B$4)-B434)</f>
        <v/>
      </c>
      <c r="Z434" s="41">
        <f>IF(B434="","",IF(S434&lt;&gt;"",IF(S434&gt;R434,"Closed late","Closed on time"),IF(Settings!$B$4&gt;R434,"Open: overdue","Open")))</f>
        <v/>
      </c>
      <c r="AA434" s="41">
        <f>IF(B434="","",IF(NETWORKDAYS(B434,C434)-1&gt;Settings!$B$5,"Logged late",IF(AND(L434="Escalated",M434=""),"Escalate to Compliance",IF(AND(L434="Escalated",N434=""),"Notify Sponsor Bank",IF(AND(L434="Escalated",N434&lt;&gt;"",NETWORKDAYS(B434,N434)-1&gt;Settings!$B$10),"Sponsor Bank notified late",IF(AND(K434&lt;&gt;"",K434&lt;&gt;"None",Q434=""),"Enter the legal deadline",IF(AND(S434&lt;&gt;"",OR(T434="",V434="")),"Record outcome and root cause",IF(AND(P434="",S434="",Settings!$B$4&gt;O434),"Acknowledgment overdue",""))))))))</f>
        <v/>
      </c>
    </row>
    <row r="435" ht="15.75" customHeight="1" s="31">
      <c r="A435" s="44" t="n"/>
      <c r="B435" s="45" t="n"/>
      <c r="C435" s="45" t="n"/>
      <c r="D435" s="44" t="n"/>
      <c r="E435" s="44" t="n"/>
      <c r="F435" s="44" t="n"/>
      <c r="G435" s="44" t="n"/>
      <c r="H435" s="44" t="n"/>
      <c r="I435" s="44" t="n"/>
      <c r="J435" s="44" t="n"/>
      <c r="K435" s="44" t="n"/>
      <c r="L435" s="41">
        <f>IF(B435="","",IF(OR(COUNTIF(Settings!$E$4:$E$9,D435)&gt;0,I435="Yes",J435="Yes",K435="Fair lending allegation"),"Escalated","Standard"))</f>
        <v/>
      </c>
      <c r="M435" s="45" t="n"/>
      <c r="N435" s="45" t="n"/>
      <c r="O435" s="42">
        <f>IF(B435="","",WORKDAY(B435,Settings!$B$7))</f>
        <v/>
      </c>
      <c r="P435" s="45" t="n"/>
      <c r="Q435" s="45" t="n"/>
      <c r="R435" s="42">
        <f>IF(B435="","",IF(Q435&lt;&gt;"",MIN(Q435,IF(L435="Escalated",B435+Settings!$B$9,WORKDAY(B435,Settings!$B$8))),IF(L435="Escalated",B435+Settings!$B$9,WORKDAY(B435,Settings!$B$8))))</f>
        <v/>
      </c>
      <c r="S435" s="45" t="n"/>
      <c r="T435" s="44" t="n"/>
      <c r="U435" s="46" t="n"/>
      <c r="V435" s="44" t="n"/>
      <c r="W435" s="44" t="n"/>
      <c r="X435" s="44" t="n"/>
      <c r="Y435" s="41">
        <f>IF(B435="","",IF(S435&lt;&gt;"",S435,Settings!$B$4)-B435)</f>
        <v/>
      </c>
      <c r="Z435" s="41">
        <f>IF(B435="","",IF(S435&lt;&gt;"",IF(S435&gt;R435,"Closed late","Closed on time"),IF(Settings!$B$4&gt;R435,"Open: overdue","Open")))</f>
        <v/>
      </c>
      <c r="AA435" s="41">
        <f>IF(B435="","",IF(NETWORKDAYS(B435,C435)-1&gt;Settings!$B$5,"Logged late",IF(AND(L435="Escalated",M435=""),"Escalate to Compliance",IF(AND(L435="Escalated",N435=""),"Notify Sponsor Bank",IF(AND(L435="Escalated",N435&lt;&gt;"",NETWORKDAYS(B435,N435)-1&gt;Settings!$B$10),"Sponsor Bank notified late",IF(AND(K435&lt;&gt;"",K435&lt;&gt;"None",Q435=""),"Enter the legal deadline",IF(AND(S435&lt;&gt;"",OR(T435="",V435="")),"Record outcome and root cause",IF(AND(P435="",S435="",Settings!$B$4&gt;O435),"Acknowledgment overdue",""))))))))</f>
        <v/>
      </c>
    </row>
    <row r="436" ht="15.75" customHeight="1" s="31">
      <c r="A436" s="44" t="n"/>
      <c r="B436" s="45" t="n"/>
      <c r="C436" s="45" t="n"/>
      <c r="D436" s="44" t="n"/>
      <c r="E436" s="44" t="n"/>
      <c r="F436" s="44" t="n"/>
      <c r="G436" s="44" t="n"/>
      <c r="H436" s="44" t="n"/>
      <c r="I436" s="44" t="n"/>
      <c r="J436" s="44" t="n"/>
      <c r="K436" s="44" t="n"/>
      <c r="L436" s="41">
        <f>IF(B436="","",IF(OR(COUNTIF(Settings!$E$4:$E$9,D436)&gt;0,I436="Yes",J436="Yes",K436="Fair lending allegation"),"Escalated","Standard"))</f>
        <v/>
      </c>
      <c r="M436" s="45" t="n"/>
      <c r="N436" s="45" t="n"/>
      <c r="O436" s="42">
        <f>IF(B436="","",WORKDAY(B436,Settings!$B$7))</f>
        <v/>
      </c>
      <c r="P436" s="45" t="n"/>
      <c r="Q436" s="45" t="n"/>
      <c r="R436" s="42">
        <f>IF(B436="","",IF(Q436&lt;&gt;"",MIN(Q436,IF(L436="Escalated",B436+Settings!$B$9,WORKDAY(B436,Settings!$B$8))),IF(L436="Escalated",B436+Settings!$B$9,WORKDAY(B436,Settings!$B$8))))</f>
        <v/>
      </c>
      <c r="S436" s="45" t="n"/>
      <c r="T436" s="44" t="n"/>
      <c r="U436" s="46" t="n"/>
      <c r="V436" s="44" t="n"/>
      <c r="W436" s="44" t="n"/>
      <c r="X436" s="44" t="n"/>
      <c r="Y436" s="41">
        <f>IF(B436="","",IF(S436&lt;&gt;"",S436,Settings!$B$4)-B436)</f>
        <v/>
      </c>
      <c r="Z436" s="41">
        <f>IF(B436="","",IF(S436&lt;&gt;"",IF(S436&gt;R436,"Closed late","Closed on time"),IF(Settings!$B$4&gt;R436,"Open: overdue","Open")))</f>
        <v/>
      </c>
      <c r="AA436" s="41">
        <f>IF(B436="","",IF(NETWORKDAYS(B436,C436)-1&gt;Settings!$B$5,"Logged late",IF(AND(L436="Escalated",M436=""),"Escalate to Compliance",IF(AND(L436="Escalated",N436=""),"Notify Sponsor Bank",IF(AND(L436="Escalated",N436&lt;&gt;"",NETWORKDAYS(B436,N436)-1&gt;Settings!$B$10),"Sponsor Bank notified late",IF(AND(K436&lt;&gt;"",K436&lt;&gt;"None",Q436=""),"Enter the legal deadline",IF(AND(S436&lt;&gt;"",OR(T436="",V436="")),"Record outcome and root cause",IF(AND(P436="",S436="",Settings!$B$4&gt;O436),"Acknowledgment overdue",""))))))))</f>
        <v/>
      </c>
    </row>
    <row r="437" ht="15.75" customHeight="1" s="31">
      <c r="A437" s="44" t="n"/>
      <c r="B437" s="45" t="n"/>
      <c r="C437" s="45" t="n"/>
      <c r="D437" s="44" t="n"/>
      <c r="E437" s="44" t="n"/>
      <c r="F437" s="44" t="n"/>
      <c r="G437" s="44" t="n"/>
      <c r="H437" s="44" t="n"/>
      <c r="I437" s="44" t="n"/>
      <c r="J437" s="44" t="n"/>
      <c r="K437" s="44" t="n"/>
      <c r="L437" s="41">
        <f>IF(B437="","",IF(OR(COUNTIF(Settings!$E$4:$E$9,D437)&gt;0,I437="Yes",J437="Yes",K437="Fair lending allegation"),"Escalated","Standard"))</f>
        <v/>
      </c>
      <c r="M437" s="45" t="n"/>
      <c r="N437" s="45" t="n"/>
      <c r="O437" s="42">
        <f>IF(B437="","",WORKDAY(B437,Settings!$B$7))</f>
        <v/>
      </c>
      <c r="P437" s="45" t="n"/>
      <c r="Q437" s="45" t="n"/>
      <c r="R437" s="42">
        <f>IF(B437="","",IF(Q437&lt;&gt;"",MIN(Q437,IF(L437="Escalated",B437+Settings!$B$9,WORKDAY(B437,Settings!$B$8))),IF(L437="Escalated",B437+Settings!$B$9,WORKDAY(B437,Settings!$B$8))))</f>
        <v/>
      </c>
      <c r="S437" s="45" t="n"/>
      <c r="T437" s="44" t="n"/>
      <c r="U437" s="46" t="n"/>
      <c r="V437" s="44" t="n"/>
      <c r="W437" s="44" t="n"/>
      <c r="X437" s="44" t="n"/>
      <c r="Y437" s="41">
        <f>IF(B437="","",IF(S437&lt;&gt;"",S437,Settings!$B$4)-B437)</f>
        <v/>
      </c>
      <c r="Z437" s="41">
        <f>IF(B437="","",IF(S437&lt;&gt;"",IF(S437&gt;R437,"Closed late","Closed on time"),IF(Settings!$B$4&gt;R437,"Open: overdue","Open")))</f>
        <v/>
      </c>
      <c r="AA437" s="41">
        <f>IF(B437="","",IF(NETWORKDAYS(B437,C437)-1&gt;Settings!$B$5,"Logged late",IF(AND(L437="Escalated",M437=""),"Escalate to Compliance",IF(AND(L437="Escalated",N437=""),"Notify Sponsor Bank",IF(AND(L437="Escalated",N437&lt;&gt;"",NETWORKDAYS(B437,N437)-1&gt;Settings!$B$10),"Sponsor Bank notified late",IF(AND(K437&lt;&gt;"",K437&lt;&gt;"None",Q437=""),"Enter the legal deadline",IF(AND(S437&lt;&gt;"",OR(T437="",V437="")),"Record outcome and root cause",IF(AND(P437="",S437="",Settings!$B$4&gt;O437),"Acknowledgment overdue",""))))))))</f>
        <v/>
      </c>
    </row>
    <row r="438" ht="15.75" customHeight="1" s="31">
      <c r="A438" s="44" t="n"/>
      <c r="B438" s="45" t="n"/>
      <c r="C438" s="45" t="n"/>
      <c r="D438" s="44" t="n"/>
      <c r="E438" s="44" t="n"/>
      <c r="F438" s="44" t="n"/>
      <c r="G438" s="44" t="n"/>
      <c r="H438" s="44" t="n"/>
      <c r="I438" s="44" t="n"/>
      <c r="J438" s="44" t="n"/>
      <c r="K438" s="44" t="n"/>
      <c r="L438" s="41">
        <f>IF(B438="","",IF(OR(COUNTIF(Settings!$E$4:$E$9,D438)&gt;0,I438="Yes",J438="Yes",K438="Fair lending allegation"),"Escalated","Standard"))</f>
        <v/>
      </c>
      <c r="M438" s="45" t="n"/>
      <c r="N438" s="45" t="n"/>
      <c r="O438" s="42">
        <f>IF(B438="","",WORKDAY(B438,Settings!$B$7))</f>
        <v/>
      </c>
      <c r="P438" s="45" t="n"/>
      <c r="Q438" s="45" t="n"/>
      <c r="R438" s="42">
        <f>IF(B438="","",IF(Q438&lt;&gt;"",MIN(Q438,IF(L438="Escalated",B438+Settings!$B$9,WORKDAY(B438,Settings!$B$8))),IF(L438="Escalated",B438+Settings!$B$9,WORKDAY(B438,Settings!$B$8))))</f>
        <v/>
      </c>
      <c r="S438" s="45" t="n"/>
      <c r="T438" s="44" t="n"/>
      <c r="U438" s="46" t="n"/>
      <c r="V438" s="44" t="n"/>
      <c r="W438" s="44" t="n"/>
      <c r="X438" s="44" t="n"/>
      <c r="Y438" s="41">
        <f>IF(B438="","",IF(S438&lt;&gt;"",S438,Settings!$B$4)-B438)</f>
        <v/>
      </c>
      <c r="Z438" s="41">
        <f>IF(B438="","",IF(S438&lt;&gt;"",IF(S438&gt;R438,"Closed late","Closed on time"),IF(Settings!$B$4&gt;R438,"Open: overdue","Open")))</f>
        <v/>
      </c>
      <c r="AA438" s="41">
        <f>IF(B438="","",IF(NETWORKDAYS(B438,C438)-1&gt;Settings!$B$5,"Logged late",IF(AND(L438="Escalated",M438=""),"Escalate to Compliance",IF(AND(L438="Escalated",N438=""),"Notify Sponsor Bank",IF(AND(L438="Escalated",N438&lt;&gt;"",NETWORKDAYS(B438,N438)-1&gt;Settings!$B$10),"Sponsor Bank notified late",IF(AND(K438&lt;&gt;"",K438&lt;&gt;"None",Q438=""),"Enter the legal deadline",IF(AND(S438&lt;&gt;"",OR(T438="",V438="")),"Record outcome and root cause",IF(AND(P438="",S438="",Settings!$B$4&gt;O438),"Acknowledgment overdue",""))))))))</f>
        <v/>
      </c>
    </row>
    <row r="439" ht="15.75" customHeight="1" s="31">
      <c r="A439" s="44" t="n"/>
      <c r="B439" s="45" t="n"/>
      <c r="C439" s="45" t="n"/>
      <c r="D439" s="44" t="n"/>
      <c r="E439" s="44" t="n"/>
      <c r="F439" s="44" t="n"/>
      <c r="G439" s="44" t="n"/>
      <c r="H439" s="44" t="n"/>
      <c r="I439" s="44" t="n"/>
      <c r="J439" s="44" t="n"/>
      <c r="K439" s="44" t="n"/>
      <c r="L439" s="41">
        <f>IF(B439="","",IF(OR(COUNTIF(Settings!$E$4:$E$9,D439)&gt;0,I439="Yes",J439="Yes",K439="Fair lending allegation"),"Escalated","Standard"))</f>
        <v/>
      </c>
      <c r="M439" s="45" t="n"/>
      <c r="N439" s="45" t="n"/>
      <c r="O439" s="42">
        <f>IF(B439="","",WORKDAY(B439,Settings!$B$7))</f>
        <v/>
      </c>
      <c r="P439" s="45" t="n"/>
      <c r="Q439" s="45" t="n"/>
      <c r="R439" s="42">
        <f>IF(B439="","",IF(Q439&lt;&gt;"",MIN(Q439,IF(L439="Escalated",B439+Settings!$B$9,WORKDAY(B439,Settings!$B$8))),IF(L439="Escalated",B439+Settings!$B$9,WORKDAY(B439,Settings!$B$8))))</f>
        <v/>
      </c>
      <c r="S439" s="45" t="n"/>
      <c r="T439" s="44" t="n"/>
      <c r="U439" s="46" t="n"/>
      <c r="V439" s="44" t="n"/>
      <c r="W439" s="44" t="n"/>
      <c r="X439" s="44" t="n"/>
      <c r="Y439" s="41">
        <f>IF(B439="","",IF(S439&lt;&gt;"",S439,Settings!$B$4)-B439)</f>
        <v/>
      </c>
      <c r="Z439" s="41">
        <f>IF(B439="","",IF(S439&lt;&gt;"",IF(S439&gt;R439,"Closed late","Closed on time"),IF(Settings!$B$4&gt;R439,"Open: overdue","Open")))</f>
        <v/>
      </c>
      <c r="AA439" s="41">
        <f>IF(B439="","",IF(NETWORKDAYS(B439,C439)-1&gt;Settings!$B$5,"Logged late",IF(AND(L439="Escalated",M439=""),"Escalate to Compliance",IF(AND(L439="Escalated",N439=""),"Notify Sponsor Bank",IF(AND(L439="Escalated",N439&lt;&gt;"",NETWORKDAYS(B439,N439)-1&gt;Settings!$B$10),"Sponsor Bank notified late",IF(AND(K439&lt;&gt;"",K439&lt;&gt;"None",Q439=""),"Enter the legal deadline",IF(AND(S439&lt;&gt;"",OR(T439="",V439="")),"Record outcome and root cause",IF(AND(P439="",S439="",Settings!$B$4&gt;O439),"Acknowledgment overdue",""))))))))</f>
        <v/>
      </c>
    </row>
    <row r="440" ht="15.75" customHeight="1" s="31">
      <c r="A440" s="44" t="n"/>
      <c r="B440" s="45" t="n"/>
      <c r="C440" s="45" t="n"/>
      <c r="D440" s="44" t="n"/>
      <c r="E440" s="44" t="n"/>
      <c r="F440" s="44" t="n"/>
      <c r="G440" s="44" t="n"/>
      <c r="H440" s="44" t="n"/>
      <c r="I440" s="44" t="n"/>
      <c r="J440" s="44" t="n"/>
      <c r="K440" s="44" t="n"/>
      <c r="L440" s="41">
        <f>IF(B440="","",IF(OR(COUNTIF(Settings!$E$4:$E$9,D440)&gt;0,I440="Yes",J440="Yes",K440="Fair lending allegation"),"Escalated","Standard"))</f>
        <v/>
      </c>
      <c r="M440" s="45" t="n"/>
      <c r="N440" s="45" t="n"/>
      <c r="O440" s="42">
        <f>IF(B440="","",WORKDAY(B440,Settings!$B$7))</f>
        <v/>
      </c>
      <c r="P440" s="45" t="n"/>
      <c r="Q440" s="45" t="n"/>
      <c r="R440" s="42">
        <f>IF(B440="","",IF(Q440&lt;&gt;"",MIN(Q440,IF(L440="Escalated",B440+Settings!$B$9,WORKDAY(B440,Settings!$B$8))),IF(L440="Escalated",B440+Settings!$B$9,WORKDAY(B440,Settings!$B$8))))</f>
        <v/>
      </c>
      <c r="S440" s="45" t="n"/>
      <c r="T440" s="44" t="n"/>
      <c r="U440" s="46" t="n"/>
      <c r="V440" s="44" t="n"/>
      <c r="W440" s="44" t="n"/>
      <c r="X440" s="44" t="n"/>
      <c r="Y440" s="41">
        <f>IF(B440="","",IF(S440&lt;&gt;"",S440,Settings!$B$4)-B440)</f>
        <v/>
      </c>
      <c r="Z440" s="41">
        <f>IF(B440="","",IF(S440&lt;&gt;"",IF(S440&gt;R440,"Closed late","Closed on time"),IF(Settings!$B$4&gt;R440,"Open: overdue","Open")))</f>
        <v/>
      </c>
      <c r="AA440" s="41">
        <f>IF(B440="","",IF(NETWORKDAYS(B440,C440)-1&gt;Settings!$B$5,"Logged late",IF(AND(L440="Escalated",M440=""),"Escalate to Compliance",IF(AND(L440="Escalated",N440=""),"Notify Sponsor Bank",IF(AND(L440="Escalated",N440&lt;&gt;"",NETWORKDAYS(B440,N440)-1&gt;Settings!$B$10),"Sponsor Bank notified late",IF(AND(K440&lt;&gt;"",K440&lt;&gt;"None",Q440=""),"Enter the legal deadline",IF(AND(S440&lt;&gt;"",OR(T440="",V440="")),"Record outcome and root cause",IF(AND(P440="",S440="",Settings!$B$4&gt;O440),"Acknowledgment overdue",""))))))))</f>
        <v/>
      </c>
    </row>
    <row r="441" ht="15.75" customHeight="1" s="31">
      <c r="A441" s="44" t="n"/>
      <c r="B441" s="45" t="n"/>
      <c r="C441" s="45" t="n"/>
      <c r="D441" s="44" t="n"/>
      <c r="E441" s="44" t="n"/>
      <c r="F441" s="44" t="n"/>
      <c r="G441" s="44" t="n"/>
      <c r="H441" s="44" t="n"/>
      <c r="I441" s="44" t="n"/>
      <c r="J441" s="44" t="n"/>
      <c r="K441" s="44" t="n"/>
      <c r="L441" s="41">
        <f>IF(B441="","",IF(OR(COUNTIF(Settings!$E$4:$E$9,D441)&gt;0,I441="Yes",J441="Yes",K441="Fair lending allegation"),"Escalated","Standard"))</f>
        <v/>
      </c>
      <c r="M441" s="45" t="n"/>
      <c r="N441" s="45" t="n"/>
      <c r="O441" s="42">
        <f>IF(B441="","",WORKDAY(B441,Settings!$B$7))</f>
        <v/>
      </c>
      <c r="P441" s="45" t="n"/>
      <c r="Q441" s="45" t="n"/>
      <c r="R441" s="42">
        <f>IF(B441="","",IF(Q441&lt;&gt;"",MIN(Q441,IF(L441="Escalated",B441+Settings!$B$9,WORKDAY(B441,Settings!$B$8))),IF(L441="Escalated",B441+Settings!$B$9,WORKDAY(B441,Settings!$B$8))))</f>
        <v/>
      </c>
      <c r="S441" s="45" t="n"/>
      <c r="T441" s="44" t="n"/>
      <c r="U441" s="46" t="n"/>
      <c r="V441" s="44" t="n"/>
      <c r="W441" s="44" t="n"/>
      <c r="X441" s="44" t="n"/>
      <c r="Y441" s="41">
        <f>IF(B441="","",IF(S441&lt;&gt;"",S441,Settings!$B$4)-B441)</f>
        <v/>
      </c>
      <c r="Z441" s="41">
        <f>IF(B441="","",IF(S441&lt;&gt;"",IF(S441&gt;R441,"Closed late","Closed on time"),IF(Settings!$B$4&gt;R441,"Open: overdue","Open")))</f>
        <v/>
      </c>
      <c r="AA441" s="41">
        <f>IF(B441="","",IF(NETWORKDAYS(B441,C441)-1&gt;Settings!$B$5,"Logged late",IF(AND(L441="Escalated",M441=""),"Escalate to Compliance",IF(AND(L441="Escalated",N441=""),"Notify Sponsor Bank",IF(AND(L441="Escalated",N441&lt;&gt;"",NETWORKDAYS(B441,N441)-1&gt;Settings!$B$10),"Sponsor Bank notified late",IF(AND(K441&lt;&gt;"",K441&lt;&gt;"None",Q441=""),"Enter the legal deadline",IF(AND(S441&lt;&gt;"",OR(T441="",V441="")),"Record outcome and root cause",IF(AND(P441="",S441="",Settings!$B$4&gt;O441),"Acknowledgment overdue",""))))))))</f>
        <v/>
      </c>
    </row>
    <row r="442" ht="15.75" customHeight="1" s="31">
      <c r="A442" s="44" t="n"/>
      <c r="B442" s="45" t="n"/>
      <c r="C442" s="45" t="n"/>
      <c r="D442" s="44" t="n"/>
      <c r="E442" s="44" t="n"/>
      <c r="F442" s="44" t="n"/>
      <c r="G442" s="44" t="n"/>
      <c r="H442" s="44" t="n"/>
      <c r="I442" s="44" t="n"/>
      <c r="J442" s="44" t="n"/>
      <c r="K442" s="44" t="n"/>
      <c r="L442" s="41">
        <f>IF(B442="","",IF(OR(COUNTIF(Settings!$E$4:$E$9,D442)&gt;0,I442="Yes",J442="Yes",K442="Fair lending allegation"),"Escalated","Standard"))</f>
        <v/>
      </c>
      <c r="M442" s="45" t="n"/>
      <c r="N442" s="45" t="n"/>
      <c r="O442" s="42">
        <f>IF(B442="","",WORKDAY(B442,Settings!$B$7))</f>
        <v/>
      </c>
      <c r="P442" s="45" t="n"/>
      <c r="Q442" s="45" t="n"/>
      <c r="R442" s="42">
        <f>IF(B442="","",IF(Q442&lt;&gt;"",MIN(Q442,IF(L442="Escalated",B442+Settings!$B$9,WORKDAY(B442,Settings!$B$8))),IF(L442="Escalated",B442+Settings!$B$9,WORKDAY(B442,Settings!$B$8))))</f>
        <v/>
      </c>
      <c r="S442" s="45" t="n"/>
      <c r="T442" s="44" t="n"/>
      <c r="U442" s="46" t="n"/>
      <c r="V442" s="44" t="n"/>
      <c r="W442" s="44" t="n"/>
      <c r="X442" s="44" t="n"/>
      <c r="Y442" s="41">
        <f>IF(B442="","",IF(S442&lt;&gt;"",S442,Settings!$B$4)-B442)</f>
        <v/>
      </c>
      <c r="Z442" s="41">
        <f>IF(B442="","",IF(S442&lt;&gt;"",IF(S442&gt;R442,"Closed late","Closed on time"),IF(Settings!$B$4&gt;R442,"Open: overdue","Open")))</f>
        <v/>
      </c>
      <c r="AA442" s="41">
        <f>IF(B442="","",IF(NETWORKDAYS(B442,C442)-1&gt;Settings!$B$5,"Logged late",IF(AND(L442="Escalated",M442=""),"Escalate to Compliance",IF(AND(L442="Escalated",N442=""),"Notify Sponsor Bank",IF(AND(L442="Escalated",N442&lt;&gt;"",NETWORKDAYS(B442,N442)-1&gt;Settings!$B$10),"Sponsor Bank notified late",IF(AND(K442&lt;&gt;"",K442&lt;&gt;"None",Q442=""),"Enter the legal deadline",IF(AND(S442&lt;&gt;"",OR(T442="",V442="")),"Record outcome and root cause",IF(AND(P442="",S442="",Settings!$B$4&gt;O442),"Acknowledgment overdue",""))))))))</f>
        <v/>
      </c>
    </row>
    <row r="443" ht="15.75" customHeight="1" s="31">
      <c r="A443" s="44" t="n"/>
      <c r="B443" s="45" t="n"/>
      <c r="C443" s="45" t="n"/>
      <c r="D443" s="44" t="n"/>
      <c r="E443" s="44" t="n"/>
      <c r="F443" s="44" t="n"/>
      <c r="G443" s="44" t="n"/>
      <c r="H443" s="44" t="n"/>
      <c r="I443" s="44" t="n"/>
      <c r="J443" s="44" t="n"/>
      <c r="K443" s="44" t="n"/>
      <c r="L443" s="41">
        <f>IF(B443="","",IF(OR(COUNTIF(Settings!$E$4:$E$9,D443)&gt;0,I443="Yes",J443="Yes",K443="Fair lending allegation"),"Escalated","Standard"))</f>
        <v/>
      </c>
      <c r="M443" s="45" t="n"/>
      <c r="N443" s="45" t="n"/>
      <c r="O443" s="42">
        <f>IF(B443="","",WORKDAY(B443,Settings!$B$7))</f>
        <v/>
      </c>
      <c r="P443" s="45" t="n"/>
      <c r="Q443" s="45" t="n"/>
      <c r="R443" s="42">
        <f>IF(B443="","",IF(Q443&lt;&gt;"",MIN(Q443,IF(L443="Escalated",B443+Settings!$B$9,WORKDAY(B443,Settings!$B$8))),IF(L443="Escalated",B443+Settings!$B$9,WORKDAY(B443,Settings!$B$8))))</f>
        <v/>
      </c>
      <c r="S443" s="45" t="n"/>
      <c r="T443" s="44" t="n"/>
      <c r="U443" s="46" t="n"/>
      <c r="V443" s="44" t="n"/>
      <c r="W443" s="44" t="n"/>
      <c r="X443" s="44" t="n"/>
      <c r="Y443" s="41">
        <f>IF(B443="","",IF(S443&lt;&gt;"",S443,Settings!$B$4)-B443)</f>
        <v/>
      </c>
      <c r="Z443" s="41">
        <f>IF(B443="","",IF(S443&lt;&gt;"",IF(S443&gt;R443,"Closed late","Closed on time"),IF(Settings!$B$4&gt;R443,"Open: overdue","Open")))</f>
        <v/>
      </c>
      <c r="AA443" s="41">
        <f>IF(B443="","",IF(NETWORKDAYS(B443,C443)-1&gt;Settings!$B$5,"Logged late",IF(AND(L443="Escalated",M443=""),"Escalate to Compliance",IF(AND(L443="Escalated",N443=""),"Notify Sponsor Bank",IF(AND(L443="Escalated",N443&lt;&gt;"",NETWORKDAYS(B443,N443)-1&gt;Settings!$B$10),"Sponsor Bank notified late",IF(AND(K443&lt;&gt;"",K443&lt;&gt;"None",Q443=""),"Enter the legal deadline",IF(AND(S443&lt;&gt;"",OR(T443="",V443="")),"Record outcome and root cause",IF(AND(P443="",S443="",Settings!$B$4&gt;O443),"Acknowledgment overdue",""))))))))</f>
        <v/>
      </c>
    </row>
    <row r="444" ht="15.75" customHeight="1" s="31">
      <c r="A444" s="44" t="n"/>
      <c r="B444" s="45" t="n"/>
      <c r="C444" s="45" t="n"/>
      <c r="D444" s="44" t="n"/>
      <c r="E444" s="44" t="n"/>
      <c r="F444" s="44" t="n"/>
      <c r="G444" s="44" t="n"/>
      <c r="H444" s="44" t="n"/>
      <c r="I444" s="44" t="n"/>
      <c r="J444" s="44" t="n"/>
      <c r="K444" s="44" t="n"/>
      <c r="L444" s="41">
        <f>IF(B444="","",IF(OR(COUNTIF(Settings!$E$4:$E$9,D444)&gt;0,I444="Yes",J444="Yes",K444="Fair lending allegation"),"Escalated","Standard"))</f>
        <v/>
      </c>
      <c r="M444" s="45" t="n"/>
      <c r="N444" s="45" t="n"/>
      <c r="O444" s="42">
        <f>IF(B444="","",WORKDAY(B444,Settings!$B$7))</f>
        <v/>
      </c>
      <c r="P444" s="45" t="n"/>
      <c r="Q444" s="45" t="n"/>
      <c r="R444" s="42">
        <f>IF(B444="","",IF(Q444&lt;&gt;"",MIN(Q444,IF(L444="Escalated",B444+Settings!$B$9,WORKDAY(B444,Settings!$B$8))),IF(L444="Escalated",B444+Settings!$B$9,WORKDAY(B444,Settings!$B$8))))</f>
        <v/>
      </c>
      <c r="S444" s="45" t="n"/>
      <c r="T444" s="44" t="n"/>
      <c r="U444" s="46" t="n"/>
      <c r="V444" s="44" t="n"/>
      <c r="W444" s="44" t="n"/>
      <c r="X444" s="44" t="n"/>
      <c r="Y444" s="41">
        <f>IF(B444="","",IF(S444&lt;&gt;"",S444,Settings!$B$4)-B444)</f>
        <v/>
      </c>
      <c r="Z444" s="41">
        <f>IF(B444="","",IF(S444&lt;&gt;"",IF(S444&gt;R444,"Closed late","Closed on time"),IF(Settings!$B$4&gt;R444,"Open: overdue","Open")))</f>
        <v/>
      </c>
      <c r="AA444" s="41">
        <f>IF(B444="","",IF(NETWORKDAYS(B444,C444)-1&gt;Settings!$B$5,"Logged late",IF(AND(L444="Escalated",M444=""),"Escalate to Compliance",IF(AND(L444="Escalated",N444=""),"Notify Sponsor Bank",IF(AND(L444="Escalated",N444&lt;&gt;"",NETWORKDAYS(B444,N444)-1&gt;Settings!$B$10),"Sponsor Bank notified late",IF(AND(K444&lt;&gt;"",K444&lt;&gt;"None",Q444=""),"Enter the legal deadline",IF(AND(S444&lt;&gt;"",OR(T444="",V444="")),"Record outcome and root cause",IF(AND(P444="",S444="",Settings!$B$4&gt;O444),"Acknowledgment overdue",""))))))))</f>
        <v/>
      </c>
    </row>
    <row r="445" ht="15.75" customHeight="1" s="31">
      <c r="A445" s="44" t="n"/>
      <c r="B445" s="45" t="n"/>
      <c r="C445" s="45" t="n"/>
      <c r="D445" s="44" t="n"/>
      <c r="E445" s="44" t="n"/>
      <c r="F445" s="44" t="n"/>
      <c r="G445" s="44" t="n"/>
      <c r="H445" s="44" t="n"/>
      <c r="I445" s="44" t="n"/>
      <c r="J445" s="44" t="n"/>
      <c r="K445" s="44" t="n"/>
      <c r="L445" s="41">
        <f>IF(B445="","",IF(OR(COUNTIF(Settings!$E$4:$E$9,D445)&gt;0,I445="Yes",J445="Yes",K445="Fair lending allegation"),"Escalated","Standard"))</f>
        <v/>
      </c>
      <c r="M445" s="45" t="n"/>
      <c r="N445" s="45" t="n"/>
      <c r="O445" s="42">
        <f>IF(B445="","",WORKDAY(B445,Settings!$B$7))</f>
        <v/>
      </c>
      <c r="P445" s="45" t="n"/>
      <c r="Q445" s="45" t="n"/>
      <c r="R445" s="42">
        <f>IF(B445="","",IF(Q445&lt;&gt;"",MIN(Q445,IF(L445="Escalated",B445+Settings!$B$9,WORKDAY(B445,Settings!$B$8))),IF(L445="Escalated",B445+Settings!$B$9,WORKDAY(B445,Settings!$B$8))))</f>
        <v/>
      </c>
      <c r="S445" s="45" t="n"/>
      <c r="T445" s="44" t="n"/>
      <c r="U445" s="46" t="n"/>
      <c r="V445" s="44" t="n"/>
      <c r="W445" s="44" t="n"/>
      <c r="X445" s="44" t="n"/>
      <c r="Y445" s="41">
        <f>IF(B445="","",IF(S445&lt;&gt;"",S445,Settings!$B$4)-B445)</f>
        <v/>
      </c>
      <c r="Z445" s="41">
        <f>IF(B445="","",IF(S445&lt;&gt;"",IF(S445&gt;R445,"Closed late","Closed on time"),IF(Settings!$B$4&gt;R445,"Open: overdue","Open")))</f>
        <v/>
      </c>
      <c r="AA445" s="41">
        <f>IF(B445="","",IF(NETWORKDAYS(B445,C445)-1&gt;Settings!$B$5,"Logged late",IF(AND(L445="Escalated",M445=""),"Escalate to Compliance",IF(AND(L445="Escalated",N445=""),"Notify Sponsor Bank",IF(AND(L445="Escalated",N445&lt;&gt;"",NETWORKDAYS(B445,N445)-1&gt;Settings!$B$10),"Sponsor Bank notified late",IF(AND(K445&lt;&gt;"",K445&lt;&gt;"None",Q445=""),"Enter the legal deadline",IF(AND(S445&lt;&gt;"",OR(T445="",V445="")),"Record outcome and root cause",IF(AND(P445="",S445="",Settings!$B$4&gt;O445),"Acknowledgment overdue",""))))))))</f>
        <v/>
      </c>
    </row>
    <row r="446" ht="15.75" customHeight="1" s="31">
      <c r="A446" s="44" t="n"/>
      <c r="B446" s="45" t="n"/>
      <c r="C446" s="45" t="n"/>
      <c r="D446" s="44" t="n"/>
      <c r="E446" s="44" t="n"/>
      <c r="F446" s="44" t="n"/>
      <c r="G446" s="44" t="n"/>
      <c r="H446" s="44" t="n"/>
      <c r="I446" s="44" t="n"/>
      <c r="J446" s="44" t="n"/>
      <c r="K446" s="44" t="n"/>
      <c r="L446" s="41">
        <f>IF(B446="","",IF(OR(COUNTIF(Settings!$E$4:$E$9,D446)&gt;0,I446="Yes",J446="Yes",K446="Fair lending allegation"),"Escalated","Standard"))</f>
        <v/>
      </c>
      <c r="M446" s="45" t="n"/>
      <c r="N446" s="45" t="n"/>
      <c r="O446" s="42">
        <f>IF(B446="","",WORKDAY(B446,Settings!$B$7))</f>
        <v/>
      </c>
      <c r="P446" s="45" t="n"/>
      <c r="Q446" s="45" t="n"/>
      <c r="R446" s="42">
        <f>IF(B446="","",IF(Q446&lt;&gt;"",MIN(Q446,IF(L446="Escalated",B446+Settings!$B$9,WORKDAY(B446,Settings!$B$8))),IF(L446="Escalated",B446+Settings!$B$9,WORKDAY(B446,Settings!$B$8))))</f>
        <v/>
      </c>
      <c r="S446" s="45" t="n"/>
      <c r="T446" s="44" t="n"/>
      <c r="U446" s="46" t="n"/>
      <c r="V446" s="44" t="n"/>
      <c r="W446" s="44" t="n"/>
      <c r="X446" s="44" t="n"/>
      <c r="Y446" s="41">
        <f>IF(B446="","",IF(S446&lt;&gt;"",S446,Settings!$B$4)-B446)</f>
        <v/>
      </c>
      <c r="Z446" s="41">
        <f>IF(B446="","",IF(S446&lt;&gt;"",IF(S446&gt;R446,"Closed late","Closed on time"),IF(Settings!$B$4&gt;R446,"Open: overdue","Open")))</f>
        <v/>
      </c>
      <c r="AA446" s="41">
        <f>IF(B446="","",IF(NETWORKDAYS(B446,C446)-1&gt;Settings!$B$5,"Logged late",IF(AND(L446="Escalated",M446=""),"Escalate to Compliance",IF(AND(L446="Escalated",N446=""),"Notify Sponsor Bank",IF(AND(L446="Escalated",N446&lt;&gt;"",NETWORKDAYS(B446,N446)-1&gt;Settings!$B$10),"Sponsor Bank notified late",IF(AND(K446&lt;&gt;"",K446&lt;&gt;"None",Q446=""),"Enter the legal deadline",IF(AND(S446&lt;&gt;"",OR(T446="",V446="")),"Record outcome and root cause",IF(AND(P446="",S446="",Settings!$B$4&gt;O446),"Acknowledgment overdue",""))))))))</f>
        <v/>
      </c>
    </row>
    <row r="447" ht="15.75" customHeight="1" s="31">
      <c r="A447" s="44" t="n"/>
      <c r="B447" s="45" t="n"/>
      <c r="C447" s="45" t="n"/>
      <c r="D447" s="44" t="n"/>
      <c r="E447" s="44" t="n"/>
      <c r="F447" s="44" t="n"/>
      <c r="G447" s="44" t="n"/>
      <c r="H447" s="44" t="n"/>
      <c r="I447" s="44" t="n"/>
      <c r="J447" s="44" t="n"/>
      <c r="K447" s="44" t="n"/>
      <c r="L447" s="41">
        <f>IF(B447="","",IF(OR(COUNTIF(Settings!$E$4:$E$9,D447)&gt;0,I447="Yes",J447="Yes",K447="Fair lending allegation"),"Escalated","Standard"))</f>
        <v/>
      </c>
      <c r="M447" s="45" t="n"/>
      <c r="N447" s="45" t="n"/>
      <c r="O447" s="42">
        <f>IF(B447="","",WORKDAY(B447,Settings!$B$7))</f>
        <v/>
      </c>
      <c r="P447" s="45" t="n"/>
      <c r="Q447" s="45" t="n"/>
      <c r="R447" s="42">
        <f>IF(B447="","",IF(Q447&lt;&gt;"",MIN(Q447,IF(L447="Escalated",B447+Settings!$B$9,WORKDAY(B447,Settings!$B$8))),IF(L447="Escalated",B447+Settings!$B$9,WORKDAY(B447,Settings!$B$8))))</f>
        <v/>
      </c>
      <c r="S447" s="45" t="n"/>
      <c r="T447" s="44" t="n"/>
      <c r="U447" s="46" t="n"/>
      <c r="V447" s="44" t="n"/>
      <c r="W447" s="44" t="n"/>
      <c r="X447" s="44" t="n"/>
      <c r="Y447" s="41">
        <f>IF(B447="","",IF(S447&lt;&gt;"",S447,Settings!$B$4)-B447)</f>
        <v/>
      </c>
      <c r="Z447" s="41">
        <f>IF(B447="","",IF(S447&lt;&gt;"",IF(S447&gt;R447,"Closed late","Closed on time"),IF(Settings!$B$4&gt;R447,"Open: overdue","Open")))</f>
        <v/>
      </c>
      <c r="AA447" s="41">
        <f>IF(B447="","",IF(NETWORKDAYS(B447,C447)-1&gt;Settings!$B$5,"Logged late",IF(AND(L447="Escalated",M447=""),"Escalate to Compliance",IF(AND(L447="Escalated",N447=""),"Notify Sponsor Bank",IF(AND(L447="Escalated",N447&lt;&gt;"",NETWORKDAYS(B447,N447)-1&gt;Settings!$B$10),"Sponsor Bank notified late",IF(AND(K447&lt;&gt;"",K447&lt;&gt;"None",Q447=""),"Enter the legal deadline",IF(AND(S447&lt;&gt;"",OR(T447="",V447="")),"Record outcome and root cause",IF(AND(P447="",S447="",Settings!$B$4&gt;O447),"Acknowledgment overdue",""))))))))</f>
        <v/>
      </c>
    </row>
    <row r="448" ht="15.75" customHeight="1" s="31">
      <c r="A448" s="44" t="n"/>
      <c r="B448" s="45" t="n"/>
      <c r="C448" s="45" t="n"/>
      <c r="D448" s="44" t="n"/>
      <c r="E448" s="44" t="n"/>
      <c r="F448" s="44" t="n"/>
      <c r="G448" s="44" t="n"/>
      <c r="H448" s="44" t="n"/>
      <c r="I448" s="44" t="n"/>
      <c r="J448" s="44" t="n"/>
      <c r="K448" s="44" t="n"/>
      <c r="L448" s="41">
        <f>IF(B448="","",IF(OR(COUNTIF(Settings!$E$4:$E$9,D448)&gt;0,I448="Yes",J448="Yes",K448="Fair lending allegation"),"Escalated","Standard"))</f>
        <v/>
      </c>
      <c r="M448" s="45" t="n"/>
      <c r="N448" s="45" t="n"/>
      <c r="O448" s="42">
        <f>IF(B448="","",WORKDAY(B448,Settings!$B$7))</f>
        <v/>
      </c>
      <c r="P448" s="45" t="n"/>
      <c r="Q448" s="45" t="n"/>
      <c r="R448" s="42">
        <f>IF(B448="","",IF(Q448&lt;&gt;"",MIN(Q448,IF(L448="Escalated",B448+Settings!$B$9,WORKDAY(B448,Settings!$B$8))),IF(L448="Escalated",B448+Settings!$B$9,WORKDAY(B448,Settings!$B$8))))</f>
        <v/>
      </c>
      <c r="S448" s="45" t="n"/>
      <c r="T448" s="44" t="n"/>
      <c r="U448" s="46" t="n"/>
      <c r="V448" s="44" t="n"/>
      <c r="W448" s="44" t="n"/>
      <c r="X448" s="44" t="n"/>
      <c r="Y448" s="41">
        <f>IF(B448="","",IF(S448&lt;&gt;"",S448,Settings!$B$4)-B448)</f>
        <v/>
      </c>
      <c r="Z448" s="41">
        <f>IF(B448="","",IF(S448&lt;&gt;"",IF(S448&gt;R448,"Closed late","Closed on time"),IF(Settings!$B$4&gt;R448,"Open: overdue","Open")))</f>
        <v/>
      </c>
      <c r="AA448" s="41">
        <f>IF(B448="","",IF(NETWORKDAYS(B448,C448)-1&gt;Settings!$B$5,"Logged late",IF(AND(L448="Escalated",M448=""),"Escalate to Compliance",IF(AND(L448="Escalated",N448=""),"Notify Sponsor Bank",IF(AND(L448="Escalated",N448&lt;&gt;"",NETWORKDAYS(B448,N448)-1&gt;Settings!$B$10),"Sponsor Bank notified late",IF(AND(K448&lt;&gt;"",K448&lt;&gt;"None",Q448=""),"Enter the legal deadline",IF(AND(S448&lt;&gt;"",OR(T448="",V448="")),"Record outcome and root cause",IF(AND(P448="",S448="",Settings!$B$4&gt;O448),"Acknowledgment overdue",""))))))))</f>
        <v/>
      </c>
    </row>
    <row r="449" ht="15.75" customHeight="1" s="31">
      <c r="A449" s="44" t="n"/>
      <c r="B449" s="45" t="n"/>
      <c r="C449" s="45" t="n"/>
      <c r="D449" s="44" t="n"/>
      <c r="E449" s="44" t="n"/>
      <c r="F449" s="44" t="n"/>
      <c r="G449" s="44" t="n"/>
      <c r="H449" s="44" t="n"/>
      <c r="I449" s="44" t="n"/>
      <c r="J449" s="44" t="n"/>
      <c r="K449" s="44" t="n"/>
      <c r="L449" s="41">
        <f>IF(B449="","",IF(OR(COUNTIF(Settings!$E$4:$E$9,D449)&gt;0,I449="Yes",J449="Yes",K449="Fair lending allegation"),"Escalated","Standard"))</f>
        <v/>
      </c>
      <c r="M449" s="45" t="n"/>
      <c r="N449" s="45" t="n"/>
      <c r="O449" s="42">
        <f>IF(B449="","",WORKDAY(B449,Settings!$B$7))</f>
        <v/>
      </c>
      <c r="P449" s="45" t="n"/>
      <c r="Q449" s="45" t="n"/>
      <c r="R449" s="42">
        <f>IF(B449="","",IF(Q449&lt;&gt;"",MIN(Q449,IF(L449="Escalated",B449+Settings!$B$9,WORKDAY(B449,Settings!$B$8))),IF(L449="Escalated",B449+Settings!$B$9,WORKDAY(B449,Settings!$B$8))))</f>
        <v/>
      </c>
      <c r="S449" s="45" t="n"/>
      <c r="T449" s="44" t="n"/>
      <c r="U449" s="46" t="n"/>
      <c r="V449" s="44" t="n"/>
      <c r="W449" s="44" t="n"/>
      <c r="X449" s="44" t="n"/>
      <c r="Y449" s="41">
        <f>IF(B449="","",IF(S449&lt;&gt;"",S449,Settings!$B$4)-B449)</f>
        <v/>
      </c>
      <c r="Z449" s="41">
        <f>IF(B449="","",IF(S449&lt;&gt;"",IF(S449&gt;R449,"Closed late","Closed on time"),IF(Settings!$B$4&gt;R449,"Open: overdue","Open")))</f>
        <v/>
      </c>
      <c r="AA449" s="41">
        <f>IF(B449="","",IF(NETWORKDAYS(B449,C449)-1&gt;Settings!$B$5,"Logged late",IF(AND(L449="Escalated",M449=""),"Escalate to Compliance",IF(AND(L449="Escalated",N449=""),"Notify Sponsor Bank",IF(AND(L449="Escalated",N449&lt;&gt;"",NETWORKDAYS(B449,N449)-1&gt;Settings!$B$10),"Sponsor Bank notified late",IF(AND(K449&lt;&gt;"",K449&lt;&gt;"None",Q449=""),"Enter the legal deadline",IF(AND(S449&lt;&gt;"",OR(T449="",V449="")),"Record outcome and root cause",IF(AND(P449="",S449="",Settings!$B$4&gt;O449),"Acknowledgment overdue",""))))))))</f>
        <v/>
      </c>
    </row>
    <row r="450" ht="15.75" customHeight="1" s="31">
      <c r="A450" s="44" t="n"/>
      <c r="B450" s="45" t="n"/>
      <c r="C450" s="45" t="n"/>
      <c r="D450" s="44" t="n"/>
      <c r="E450" s="44" t="n"/>
      <c r="F450" s="44" t="n"/>
      <c r="G450" s="44" t="n"/>
      <c r="H450" s="44" t="n"/>
      <c r="I450" s="44" t="n"/>
      <c r="J450" s="44" t="n"/>
      <c r="K450" s="44" t="n"/>
      <c r="L450" s="41">
        <f>IF(B450="","",IF(OR(COUNTIF(Settings!$E$4:$E$9,D450)&gt;0,I450="Yes",J450="Yes",K450="Fair lending allegation"),"Escalated","Standard"))</f>
        <v/>
      </c>
      <c r="M450" s="45" t="n"/>
      <c r="N450" s="45" t="n"/>
      <c r="O450" s="42">
        <f>IF(B450="","",WORKDAY(B450,Settings!$B$7))</f>
        <v/>
      </c>
      <c r="P450" s="45" t="n"/>
      <c r="Q450" s="45" t="n"/>
      <c r="R450" s="42">
        <f>IF(B450="","",IF(Q450&lt;&gt;"",MIN(Q450,IF(L450="Escalated",B450+Settings!$B$9,WORKDAY(B450,Settings!$B$8))),IF(L450="Escalated",B450+Settings!$B$9,WORKDAY(B450,Settings!$B$8))))</f>
        <v/>
      </c>
      <c r="S450" s="45" t="n"/>
      <c r="T450" s="44" t="n"/>
      <c r="U450" s="46" t="n"/>
      <c r="V450" s="44" t="n"/>
      <c r="W450" s="44" t="n"/>
      <c r="X450" s="44" t="n"/>
      <c r="Y450" s="41">
        <f>IF(B450="","",IF(S450&lt;&gt;"",S450,Settings!$B$4)-B450)</f>
        <v/>
      </c>
      <c r="Z450" s="41">
        <f>IF(B450="","",IF(S450&lt;&gt;"",IF(S450&gt;R450,"Closed late","Closed on time"),IF(Settings!$B$4&gt;R450,"Open: overdue","Open")))</f>
        <v/>
      </c>
      <c r="AA450" s="41">
        <f>IF(B450="","",IF(NETWORKDAYS(B450,C450)-1&gt;Settings!$B$5,"Logged late",IF(AND(L450="Escalated",M450=""),"Escalate to Compliance",IF(AND(L450="Escalated",N450=""),"Notify Sponsor Bank",IF(AND(L450="Escalated",N450&lt;&gt;"",NETWORKDAYS(B450,N450)-1&gt;Settings!$B$10),"Sponsor Bank notified late",IF(AND(K450&lt;&gt;"",K450&lt;&gt;"None",Q450=""),"Enter the legal deadline",IF(AND(S450&lt;&gt;"",OR(T450="",V450="")),"Record outcome and root cause",IF(AND(P450="",S450="",Settings!$B$4&gt;O450),"Acknowledgment overdue",""))))))))</f>
        <v/>
      </c>
    </row>
    <row r="451" ht="15.75" customHeight="1" s="31">
      <c r="A451" s="44" t="n"/>
      <c r="B451" s="45" t="n"/>
      <c r="C451" s="45" t="n"/>
      <c r="D451" s="44" t="n"/>
      <c r="E451" s="44" t="n"/>
      <c r="F451" s="44" t="n"/>
      <c r="G451" s="44" t="n"/>
      <c r="H451" s="44" t="n"/>
      <c r="I451" s="44" t="n"/>
      <c r="J451" s="44" t="n"/>
      <c r="K451" s="44" t="n"/>
      <c r="L451" s="41">
        <f>IF(B451="","",IF(OR(COUNTIF(Settings!$E$4:$E$9,D451)&gt;0,I451="Yes",J451="Yes",K451="Fair lending allegation"),"Escalated","Standard"))</f>
        <v/>
      </c>
      <c r="M451" s="45" t="n"/>
      <c r="N451" s="45" t="n"/>
      <c r="O451" s="42">
        <f>IF(B451="","",WORKDAY(B451,Settings!$B$7))</f>
        <v/>
      </c>
      <c r="P451" s="45" t="n"/>
      <c r="Q451" s="45" t="n"/>
      <c r="R451" s="42">
        <f>IF(B451="","",IF(Q451&lt;&gt;"",MIN(Q451,IF(L451="Escalated",B451+Settings!$B$9,WORKDAY(B451,Settings!$B$8))),IF(L451="Escalated",B451+Settings!$B$9,WORKDAY(B451,Settings!$B$8))))</f>
        <v/>
      </c>
      <c r="S451" s="45" t="n"/>
      <c r="T451" s="44" t="n"/>
      <c r="U451" s="46" t="n"/>
      <c r="V451" s="44" t="n"/>
      <c r="W451" s="44" t="n"/>
      <c r="X451" s="44" t="n"/>
      <c r="Y451" s="41">
        <f>IF(B451="","",IF(S451&lt;&gt;"",S451,Settings!$B$4)-B451)</f>
        <v/>
      </c>
      <c r="Z451" s="41">
        <f>IF(B451="","",IF(S451&lt;&gt;"",IF(S451&gt;R451,"Closed late","Closed on time"),IF(Settings!$B$4&gt;R451,"Open: overdue","Open")))</f>
        <v/>
      </c>
      <c r="AA451" s="41">
        <f>IF(B451="","",IF(NETWORKDAYS(B451,C451)-1&gt;Settings!$B$5,"Logged late",IF(AND(L451="Escalated",M451=""),"Escalate to Compliance",IF(AND(L451="Escalated",N451=""),"Notify Sponsor Bank",IF(AND(L451="Escalated",N451&lt;&gt;"",NETWORKDAYS(B451,N451)-1&gt;Settings!$B$10),"Sponsor Bank notified late",IF(AND(K451&lt;&gt;"",K451&lt;&gt;"None",Q451=""),"Enter the legal deadline",IF(AND(S451&lt;&gt;"",OR(T451="",V451="")),"Record outcome and root cause",IF(AND(P451="",S451="",Settings!$B$4&gt;O451),"Acknowledgment overdue",""))))))))</f>
        <v/>
      </c>
    </row>
    <row r="452" ht="15.75" customHeight="1" s="31">
      <c r="A452" s="44" t="n"/>
      <c r="B452" s="45" t="n"/>
      <c r="C452" s="45" t="n"/>
      <c r="D452" s="44" t="n"/>
      <c r="E452" s="44" t="n"/>
      <c r="F452" s="44" t="n"/>
      <c r="G452" s="44" t="n"/>
      <c r="H452" s="44" t="n"/>
      <c r="I452" s="44" t="n"/>
      <c r="J452" s="44" t="n"/>
      <c r="K452" s="44" t="n"/>
      <c r="L452" s="41">
        <f>IF(B452="","",IF(OR(COUNTIF(Settings!$E$4:$E$9,D452)&gt;0,I452="Yes",J452="Yes",K452="Fair lending allegation"),"Escalated","Standard"))</f>
        <v/>
      </c>
      <c r="M452" s="45" t="n"/>
      <c r="N452" s="45" t="n"/>
      <c r="O452" s="42">
        <f>IF(B452="","",WORKDAY(B452,Settings!$B$7))</f>
        <v/>
      </c>
      <c r="P452" s="45" t="n"/>
      <c r="Q452" s="45" t="n"/>
      <c r="R452" s="42">
        <f>IF(B452="","",IF(Q452&lt;&gt;"",MIN(Q452,IF(L452="Escalated",B452+Settings!$B$9,WORKDAY(B452,Settings!$B$8))),IF(L452="Escalated",B452+Settings!$B$9,WORKDAY(B452,Settings!$B$8))))</f>
        <v/>
      </c>
      <c r="S452" s="45" t="n"/>
      <c r="T452" s="44" t="n"/>
      <c r="U452" s="46" t="n"/>
      <c r="V452" s="44" t="n"/>
      <c r="W452" s="44" t="n"/>
      <c r="X452" s="44" t="n"/>
      <c r="Y452" s="41">
        <f>IF(B452="","",IF(S452&lt;&gt;"",S452,Settings!$B$4)-B452)</f>
        <v/>
      </c>
      <c r="Z452" s="41">
        <f>IF(B452="","",IF(S452&lt;&gt;"",IF(S452&gt;R452,"Closed late","Closed on time"),IF(Settings!$B$4&gt;R452,"Open: overdue","Open")))</f>
        <v/>
      </c>
      <c r="AA452" s="41">
        <f>IF(B452="","",IF(NETWORKDAYS(B452,C452)-1&gt;Settings!$B$5,"Logged late",IF(AND(L452="Escalated",M452=""),"Escalate to Compliance",IF(AND(L452="Escalated",N452=""),"Notify Sponsor Bank",IF(AND(L452="Escalated",N452&lt;&gt;"",NETWORKDAYS(B452,N452)-1&gt;Settings!$B$10),"Sponsor Bank notified late",IF(AND(K452&lt;&gt;"",K452&lt;&gt;"None",Q452=""),"Enter the legal deadline",IF(AND(S452&lt;&gt;"",OR(T452="",V452="")),"Record outcome and root cause",IF(AND(P452="",S452="",Settings!$B$4&gt;O452),"Acknowledgment overdue",""))))))))</f>
        <v/>
      </c>
    </row>
    <row r="453" ht="15.75" customHeight="1" s="31">
      <c r="A453" s="44" t="n"/>
      <c r="B453" s="45" t="n"/>
      <c r="C453" s="45" t="n"/>
      <c r="D453" s="44" t="n"/>
      <c r="E453" s="44" t="n"/>
      <c r="F453" s="44" t="n"/>
      <c r="G453" s="44" t="n"/>
      <c r="H453" s="44" t="n"/>
      <c r="I453" s="44" t="n"/>
      <c r="J453" s="44" t="n"/>
      <c r="K453" s="44" t="n"/>
      <c r="L453" s="41">
        <f>IF(B453="","",IF(OR(COUNTIF(Settings!$E$4:$E$9,D453)&gt;0,I453="Yes",J453="Yes",K453="Fair lending allegation"),"Escalated","Standard"))</f>
        <v/>
      </c>
      <c r="M453" s="45" t="n"/>
      <c r="N453" s="45" t="n"/>
      <c r="O453" s="42">
        <f>IF(B453="","",WORKDAY(B453,Settings!$B$7))</f>
        <v/>
      </c>
      <c r="P453" s="45" t="n"/>
      <c r="Q453" s="45" t="n"/>
      <c r="R453" s="42">
        <f>IF(B453="","",IF(Q453&lt;&gt;"",MIN(Q453,IF(L453="Escalated",B453+Settings!$B$9,WORKDAY(B453,Settings!$B$8))),IF(L453="Escalated",B453+Settings!$B$9,WORKDAY(B453,Settings!$B$8))))</f>
        <v/>
      </c>
      <c r="S453" s="45" t="n"/>
      <c r="T453" s="44" t="n"/>
      <c r="U453" s="46" t="n"/>
      <c r="V453" s="44" t="n"/>
      <c r="W453" s="44" t="n"/>
      <c r="X453" s="44" t="n"/>
      <c r="Y453" s="41">
        <f>IF(B453="","",IF(S453&lt;&gt;"",S453,Settings!$B$4)-B453)</f>
        <v/>
      </c>
      <c r="Z453" s="41">
        <f>IF(B453="","",IF(S453&lt;&gt;"",IF(S453&gt;R453,"Closed late","Closed on time"),IF(Settings!$B$4&gt;R453,"Open: overdue","Open")))</f>
        <v/>
      </c>
      <c r="AA453" s="41">
        <f>IF(B453="","",IF(NETWORKDAYS(B453,C453)-1&gt;Settings!$B$5,"Logged late",IF(AND(L453="Escalated",M453=""),"Escalate to Compliance",IF(AND(L453="Escalated",N453=""),"Notify Sponsor Bank",IF(AND(L453="Escalated",N453&lt;&gt;"",NETWORKDAYS(B453,N453)-1&gt;Settings!$B$10),"Sponsor Bank notified late",IF(AND(K453&lt;&gt;"",K453&lt;&gt;"None",Q453=""),"Enter the legal deadline",IF(AND(S453&lt;&gt;"",OR(T453="",V453="")),"Record outcome and root cause",IF(AND(P453="",S453="",Settings!$B$4&gt;O453),"Acknowledgment overdue",""))))))))</f>
        <v/>
      </c>
    </row>
    <row r="454" ht="15.75" customHeight="1" s="31">
      <c r="A454" s="44" t="n"/>
      <c r="B454" s="45" t="n"/>
      <c r="C454" s="45" t="n"/>
      <c r="D454" s="44" t="n"/>
      <c r="E454" s="44" t="n"/>
      <c r="F454" s="44" t="n"/>
      <c r="G454" s="44" t="n"/>
      <c r="H454" s="44" t="n"/>
      <c r="I454" s="44" t="n"/>
      <c r="J454" s="44" t="n"/>
      <c r="K454" s="44" t="n"/>
      <c r="L454" s="41">
        <f>IF(B454="","",IF(OR(COUNTIF(Settings!$E$4:$E$9,D454)&gt;0,I454="Yes",J454="Yes",K454="Fair lending allegation"),"Escalated","Standard"))</f>
        <v/>
      </c>
      <c r="M454" s="45" t="n"/>
      <c r="N454" s="45" t="n"/>
      <c r="O454" s="42">
        <f>IF(B454="","",WORKDAY(B454,Settings!$B$7))</f>
        <v/>
      </c>
      <c r="P454" s="45" t="n"/>
      <c r="Q454" s="45" t="n"/>
      <c r="R454" s="42">
        <f>IF(B454="","",IF(Q454&lt;&gt;"",MIN(Q454,IF(L454="Escalated",B454+Settings!$B$9,WORKDAY(B454,Settings!$B$8))),IF(L454="Escalated",B454+Settings!$B$9,WORKDAY(B454,Settings!$B$8))))</f>
        <v/>
      </c>
      <c r="S454" s="45" t="n"/>
      <c r="T454" s="44" t="n"/>
      <c r="U454" s="46" t="n"/>
      <c r="V454" s="44" t="n"/>
      <c r="W454" s="44" t="n"/>
      <c r="X454" s="44" t="n"/>
      <c r="Y454" s="41">
        <f>IF(B454="","",IF(S454&lt;&gt;"",S454,Settings!$B$4)-B454)</f>
        <v/>
      </c>
      <c r="Z454" s="41">
        <f>IF(B454="","",IF(S454&lt;&gt;"",IF(S454&gt;R454,"Closed late","Closed on time"),IF(Settings!$B$4&gt;R454,"Open: overdue","Open")))</f>
        <v/>
      </c>
      <c r="AA454" s="41">
        <f>IF(B454="","",IF(NETWORKDAYS(B454,C454)-1&gt;Settings!$B$5,"Logged late",IF(AND(L454="Escalated",M454=""),"Escalate to Compliance",IF(AND(L454="Escalated",N454=""),"Notify Sponsor Bank",IF(AND(L454="Escalated",N454&lt;&gt;"",NETWORKDAYS(B454,N454)-1&gt;Settings!$B$10),"Sponsor Bank notified late",IF(AND(K454&lt;&gt;"",K454&lt;&gt;"None",Q454=""),"Enter the legal deadline",IF(AND(S454&lt;&gt;"",OR(T454="",V454="")),"Record outcome and root cause",IF(AND(P454="",S454="",Settings!$B$4&gt;O454),"Acknowledgment overdue",""))))))))</f>
        <v/>
      </c>
    </row>
    <row r="455" ht="15.75" customHeight="1" s="31">
      <c r="A455" s="44" t="n"/>
      <c r="B455" s="45" t="n"/>
      <c r="C455" s="45" t="n"/>
      <c r="D455" s="44" t="n"/>
      <c r="E455" s="44" t="n"/>
      <c r="F455" s="44" t="n"/>
      <c r="G455" s="44" t="n"/>
      <c r="H455" s="44" t="n"/>
      <c r="I455" s="44" t="n"/>
      <c r="J455" s="44" t="n"/>
      <c r="K455" s="44" t="n"/>
      <c r="L455" s="41">
        <f>IF(B455="","",IF(OR(COUNTIF(Settings!$E$4:$E$9,D455)&gt;0,I455="Yes",J455="Yes",K455="Fair lending allegation"),"Escalated","Standard"))</f>
        <v/>
      </c>
      <c r="M455" s="45" t="n"/>
      <c r="N455" s="45" t="n"/>
      <c r="O455" s="42">
        <f>IF(B455="","",WORKDAY(B455,Settings!$B$7))</f>
        <v/>
      </c>
      <c r="P455" s="45" t="n"/>
      <c r="Q455" s="45" t="n"/>
      <c r="R455" s="42">
        <f>IF(B455="","",IF(Q455&lt;&gt;"",MIN(Q455,IF(L455="Escalated",B455+Settings!$B$9,WORKDAY(B455,Settings!$B$8))),IF(L455="Escalated",B455+Settings!$B$9,WORKDAY(B455,Settings!$B$8))))</f>
        <v/>
      </c>
      <c r="S455" s="45" t="n"/>
      <c r="T455" s="44" t="n"/>
      <c r="U455" s="46" t="n"/>
      <c r="V455" s="44" t="n"/>
      <c r="W455" s="44" t="n"/>
      <c r="X455" s="44" t="n"/>
      <c r="Y455" s="41">
        <f>IF(B455="","",IF(S455&lt;&gt;"",S455,Settings!$B$4)-B455)</f>
        <v/>
      </c>
      <c r="Z455" s="41">
        <f>IF(B455="","",IF(S455&lt;&gt;"",IF(S455&gt;R455,"Closed late","Closed on time"),IF(Settings!$B$4&gt;R455,"Open: overdue","Open")))</f>
        <v/>
      </c>
      <c r="AA455" s="41">
        <f>IF(B455="","",IF(NETWORKDAYS(B455,C455)-1&gt;Settings!$B$5,"Logged late",IF(AND(L455="Escalated",M455=""),"Escalate to Compliance",IF(AND(L455="Escalated",N455=""),"Notify Sponsor Bank",IF(AND(L455="Escalated",N455&lt;&gt;"",NETWORKDAYS(B455,N455)-1&gt;Settings!$B$10),"Sponsor Bank notified late",IF(AND(K455&lt;&gt;"",K455&lt;&gt;"None",Q455=""),"Enter the legal deadline",IF(AND(S455&lt;&gt;"",OR(T455="",V455="")),"Record outcome and root cause",IF(AND(P455="",S455="",Settings!$B$4&gt;O455),"Acknowledgment overdue",""))))))))</f>
        <v/>
      </c>
    </row>
    <row r="456" ht="15.75" customHeight="1" s="31">
      <c r="A456" s="44" t="n"/>
      <c r="B456" s="45" t="n"/>
      <c r="C456" s="45" t="n"/>
      <c r="D456" s="44" t="n"/>
      <c r="E456" s="44" t="n"/>
      <c r="F456" s="44" t="n"/>
      <c r="G456" s="44" t="n"/>
      <c r="H456" s="44" t="n"/>
      <c r="I456" s="44" t="n"/>
      <c r="J456" s="44" t="n"/>
      <c r="K456" s="44" t="n"/>
      <c r="L456" s="41">
        <f>IF(B456="","",IF(OR(COUNTIF(Settings!$E$4:$E$9,D456)&gt;0,I456="Yes",J456="Yes",K456="Fair lending allegation"),"Escalated","Standard"))</f>
        <v/>
      </c>
      <c r="M456" s="45" t="n"/>
      <c r="N456" s="45" t="n"/>
      <c r="O456" s="42">
        <f>IF(B456="","",WORKDAY(B456,Settings!$B$7))</f>
        <v/>
      </c>
      <c r="P456" s="45" t="n"/>
      <c r="Q456" s="45" t="n"/>
      <c r="R456" s="42">
        <f>IF(B456="","",IF(Q456&lt;&gt;"",MIN(Q456,IF(L456="Escalated",B456+Settings!$B$9,WORKDAY(B456,Settings!$B$8))),IF(L456="Escalated",B456+Settings!$B$9,WORKDAY(B456,Settings!$B$8))))</f>
        <v/>
      </c>
      <c r="S456" s="45" t="n"/>
      <c r="T456" s="44" t="n"/>
      <c r="U456" s="46" t="n"/>
      <c r="V456" s="44" t="n"/>
      <c r="W456" s="44" t="n"/>
      <c r="X456" s="44" t="n"/>
      <c r="Y456" s="41">
        <f>IF(B456="","",IF(S456&lt;&gt;"",S456,Settings!$B$4)-B456)</f>
        <v/>
      </c>
      <c r="Z456" s="41">
        <f>IF(B456="","",IF(S456&lt;&gt;"",IF(S456&gt;R456,"Closed late","Closed on time"),IF(Settings!$B$4&gt;R456,"Open: overdue","Open")))</f>
        <v/>
      </c>
      <c r="AA456" s="41">
        <f>IF(B456="","",IF(NETWORKDAYS(B456,C456)-1&gt;Settings!$B$5,"Logged late",IF(AND(L456="Escalated",M456=""),"Escalate to Compliance",IF(AND(L456="Escalated",N456=""),"Notify Sponsor Bank",IF(AND(L456="Escalated",N456&lt;&gt;"",NETWORKDAYS(B456,N456)-1&gt;Settings!$B$10),"Sponsor Bank notified late",IF(AND(K456&lt;&gt;"",K456&lt;&gt;"None",Q456=""),"Enter the legal deadline",IF(AND(S456&lt;&gt;"",OR(T456="",V456="")),"Record outcome and root cause",IF(AND(P456="",S456="",Settings!$B$4&gt;O456),"Acknowledgment overdue",""))))))))</f>
        <v/>
      </c>
    </row>
    <row r="457" ht="15.75" customHeight="1" s="31">
      <c r="A457" s="44" t="n"/>
      <c r="B457" s="45" t="n"/>
      <c r="C457" s="45" t="n"/>
      <c r="D457" s="44" t="n"/>
      <c r="E457" s="44" t="n"/>
      <c r="F457" s="44" t="n"/>
      <c r="G457" s="44" t="n"/>
      <c r="H457" s="44" t="n"/>
      <c r="I457" s="44" t="n"/>
      <c r="J457" s="44" t="n"/>
      <c r="K457" s="44" t="n"/>
      <c r="L457" s="41">
        <f>IF(B457="","",IF(OR(COUNTIF(Settings!$E$4:$E$9,D457)&gt;0,I457="Yes",J457="Yes",K457="Fair lending allegation"),"Escalated","Standard"))</f>
        <v/>
      </c>
      <c r="M457" s="45" t="n"/>
      <c r="N457" s="45" t="n"/>
      <c r="O457" s="42">
        <f>IF(B457="","",WORKDAY(B457,Settings!$B$7))</f>
        <v/>
      </c>
      <c r="P457" s="45" t="n"/>
      <c r="Q457" s="45" t="n"/>
      <c r="R457" s="42">
        <f>IF(B457="","",IF(Q457&lt;&gt;"",MIN(Q457,IF(L457="Escalated",B457+Settings!$B$9,WORKDAY(B457,Settings!$B$8))),IF(L457="Escalated",B457+Settings!$B$9,WORKDAY(B457,Settings!$B$8))))</f>
        <v/>
      </c>
      <c r="S457" s="45" t="n"/>
      <c r="T457" s="44" t="n"/>
      <c r="U457" s="46" t="n"/>
      <c r="V457" s="44" t="n"/>
      <c r="W457" s="44" t="n"/>
      <c r="X457" s="44" t="n"/>
      <c r="Y457" s="41">
        <f>IF(B457="","",IF(S457&lt;&gt;"",S457,Settings!$B$4)-B457)</f>
        <v/>
      </c>
      <c r="Z457" s="41">
        <f>IF(B457="","",IF(S457&lt;&gt;"",IF(S457&gt;R457,"Closed late","Closed on time"),IF(Settings!$B$4&gt;R457,"Open: overdue","Open")))</f>
        <v/>
      </c>
      <c r="AA457" s="41">
        <f>IF(B457="","",IF(NETWORKDAYS(B457,C457)-1&gt;Settings!$B$5,"Logged late",IF(AND(L457="Escalated",M457=""),"Escalate to Compliance",IF(AND(L457="Escalated",N457=""),"Notify Sponsor Bank",IF(AND(L457="Escalated",N457&lt;&gt;"",NETWORKDAYS(B457,N457)-1&gt;Settings!$B$10),"Sponsor Bank notified late",IF(AND(K457&lt;&gt;"",K457&lt;&gt;"None",Q457=""),"Enter the legal deadline",IF(AND(S457&lt;&gt;"",OR(T457="",V457="")),"Record outcome and root cause",IF(AND(P457="",S457="",Settings!$B$4&gt;O457),"Acknowledgment overdue",""))))))))</f>
        <v/>
      </c>
    </row>
    <row r="458" ht="15.75" customHeight="1" s="31">
      <c r="A458" s="44" t="n"/>
      <c r="B458" s="45" t="n"/>
      <c r="C458" s="45" t="n"/>
      <c r="D458" s="44" t="n"/>
      <c r="E458" s="44" t="n"/>
      <c r="F458" s="44" t="n"/>
      <c r="G458" s="44" t="n"/>
      <c r="H458" s="44" t="n"/>
      <c r="I458" s="44" t="n"/>
      <c r="J458" s="44" t="n"/>
      <c r="K458" s="44" t="n"/>
      <c r="L458" s="41">
        <f>IF(B458="","",IF(OR(COUNTIF(Settings!$E$4:$E$9,D458)&gt;0,I458="Yes",J458="Yes",K458="Fair lending allegation"),"Escalated","Standard"))</f>
        <v/>
      </c>
      <c r="M458" s="45" t="n"/>
      <c r="N458" s="45" t="n"/>
      <c r="O458" s="42">
        <f>IF(B458="","",WORKDAY(B458,Settings!$B$7))</f>
        <v/>
      </c>
      <c r="P458" s="45" t="n"/>
      <c r="Q458" s="45" t="n"/>
      <c r="R458" s="42">
        <f>IF(B458="","",IF(Q458&lt;&gt;"",MIN(Q458,IF(L458="Escalated",B458+Settings!$B$9,WORKDAY(B458,Settings!$B$8))),IF(L458="Escalated",B458+Settings!$B$9,WORKDAY(B458,Settings!$B$8))))</f>
        <v/>
      </c>
      <c r="S458" s="45" t="n"/>
      <c r="T458" s="44" t="n"/>
      <c r="U458" s="46" t="n"/>
      <c r="V458" s="44" t="n"/>
      <c r="W458" s="44" t="n"/>
      <c r="X458" s="44" t="n"/>
      <c r="Y458" s="41">
        <f>IF(B458="","",IF(S458&lt;&gt;"",S458,Settings!$B$4)-B458)</f>
        <v/>
      </c>
      <c r="Z458" s="41">
        <f>IF(B458="","",IF(S458&lt;&gt;"",IF(S458&gt;R458,"Closed late","Closed on time"),IF(Settings!$B$4&gt;R458,"Open: overdue","Open")))</f>
        <v/>
      </c>
      <c r="AA458" s="41">
        <f>IF(B458="","",IF(NETWORKDAYS(B458,C458)-1&gt;Settings!$B$5,"Logged late",IF(AND(L458="Escalated",M458=""),"Escalate to Compliance",IF(AND(L458="Escalated",N458=""),"Notify Sponsor Bank",IF(AND(L458="Escalated",N458&lt;&gt;"",NETWORKDAYS(B458,N458)-1&gt;Settings!$B$10),"Sponsor Bank notified late",IF(AND(K458&lt;&gt;"",K458&lt;&gt;"None",Q458=""),"Enter the legal deadline",IF(AND(S458&lt;&gt;"",OR(T458="",V458="")),"Record outcome and root cause",IF(AND(P458="",S458="",Settings!$B$4&gt;O458),"Acknowledgment overdue",""))))))))</f>
        <v/>
      </c>
    </row>
    <row r="459" ht="15.75" customHeight="1" s="31">
      <c r="A459" s="44" t="n"/>
      <c r="B459" s="45" t="n"/>
      <c r="C459" s="45" t="n"/>
      <c r="D459" s="44" t="n"/>
      <c r="E459" s="44" t="n"/>
      <c r="F459" s="44" t="n"/>
      <c r="G459" s="44" t="n"/>
      <c r="H459" s="44" t="n"/>
      <c r="I459" s="44" t="n"/>
      <c r="J459" s="44" t="n"/>
      <c r="K459" s="44" t="n"/>
      <c r="L459" s="41">
        <f>IF(B459="","",IF(OR(COUNTIF(Settings!$E$4:$E$9,D459)&gt;0,I459="Yes",J459="Yes",K459="Fair lending allegation"),"Escalated","Standard"))</f>
        <v/>
      </c>
      <c r="M459" s="45" t="n"/>
      <c r="N459" s="45" t="n"/>
      <c r="O459" s="42">
        <f>IF(B459="","",WORKDAY(B459,Settings!$B$7))</f>
        <v/>
      </c>
      <c r="P459" s="45" t="n"/>
      <c r="Q459" s="45" t="n"/>
      <c r="R459" s="42">
        <f>IF(B459="","",IF(Q459&lt;&gt;"",MIN(Q459,IF(L459="Escalated",B459+Settings!$B$9,WORKDAY(B459,Settings!$B$8))),IF(L459="Escalated",B459+Settings!$B$9,WORKDAY(B459,Settings!$B$8))))</f>
        <v/>
      </c>
      <c r="S459" s="45" t="n"/>
      <c r="T459" s="44" t="n"/>
      <c r="U459" s="46" t="n"/>
      <c r="V459" s="44" t="n"/>
      <c r="W459" s="44" t="n"/>
      <c r="X459" s="44" t="n"/>
      <c r="Y459" s="41">
        <f>IF(B459="","",IF(S459&lt;&gt;"",S459,Settings!$B$4)-B459)</f>
        <v/>
      </c>
      <c r="Z459" s="41">
        <f>IF(B459="","",IF(S459&lt;&gt;"",IF(S459&gt;R459,"Closed late","Closed on time"),IF(Settings!$B$4&gt;R459,"Open: overdue","Open")))</f>
        <v/>
      </c>
      <c r="AA459" s="41">
        <f>IF(B459="","",IF(NETWORKDAYS(B459,C459)-1&gt;Settings!$B$5,"Logged late",IF(AND(L459="Escalated",M459=""),"Escalate to Compliance",IF(AND(L459="Escalated",N459=""),"Notify Sponsor Bank",IF(AND(L459="Escalated",N459&lt;&gt;"",NETWORKDAYS(B459,N459)-1&gt;Settings!$B$10),"Sponsor Bank notified late",IF(AND(K459&lt;&gt;"",K459&lt;&gt;"None",Q459=""),"Enter the legal deadline",IF(AND(S459&lt;&gt;"",OR(T459="",V459="")),"Record outcome and root cause",IF(AND(P459="",S459="",Settings!$B$4&gt;O459),"Acknowledgment overdue",""))))))))</f>
        <v/>
      </c>
    </row>
    <row r="460" ht="15.75" customHeight="1" s="31">
      <c r="A460" s="44" t="n"/>
      <c r="B460" s="45" t="n"/>
      <c r="C460" s="45" t="n"/>
      <c r="D460" s="44" t="n"/>
      <c r="E460" s="44" t="n"/>
      <c r="F460" s="44" t="n"/>
      <c r="G460" s="44" t="n"/>
      <c r="H460" s="44" t="n"/>
      <c r="I460" s="44" t="n"/>
      <c r="J460" s="44" t="n"/>
      <c r="K460" s="44" t="n"/>
      <c r="L460" s="41">
        <f>IF(B460="","",IF(OR(COUNTIF(Settings!$E$4:$E$9,D460)&gt;0,I460="Yes",J460="Yes",K460="Fair lending allegation"),"Escalated","Standard"))</f>
        <v/>
      </c>
      <c r="M460" s="45" t="n"/>
      <c r="N460" s="45" t="n"/>
      <c r="O460" s="42">
        <f>IF(B460="","",WORKDAY(B460,Settings!$B$7))</f>
        <v/>
      </c>
      <c r="P460" s="45" t="n"/>
      <c r="Q460" s="45" t="n"/>
      <c r="R460" s="42">
        <f>IF(B460="","",IF(Q460&lt;&gt;"",MIN(Q460,IF(L460="Escalated",B460+Settings!$B$9,WORKDAY(B460,Settings!$B$8))),IF(L460="Escalated",B460+Settings!$B$9,WORKDAY(B460,Settings!$B$8))))</f>
        <v/>
      </c>
      <c r="S460" s="45" t="n"/>
      <c r="T460" s="44" t="n"/>
      <c r="U460" s="46" t="n"/>
      <c r="V460" s="44" t="n"/>
      <c r="W460" s="44" t="n"/>
      <c r="X460" s="44" t="n"/>
      <c r="Y460" s="41">
        <f>IF(B460="","",IF(S460&lt;&gt;"",S460,Settings!$B$4)-B460)</f>
        <v/>
      </c>
      <c r="Z460" s="41">
        <f>IF(B460="","",IF(S460&lt;&gt;"",IF(S460&gt;R460,"Closed late","Closed on time"),IF(Settings!$B$4&gt;R460,"Open: overdue","Open")))</f>
        <v/>
      </c>
      <c r="AA460" s="41">
        <f>IF(B460="","",IF(NETWORKDAYS(B460,C460)-1&gt;Settings!$B$5,"Logged late",IF(AND(L460="Escalated",M460=""),"Escalate to Compliance",IF(AND(L460="Escalated",N460=""),"Notify Sponsor Bank",IF(AND(L460="Escalated",N460&lt;&gt;"",NETWORKDAYS(B460,N460)-1&gt;Settings!$B$10),"Sponsor Bank notified late",IF(AND(K460&lt;&gt;"",K460&lt;&gt;"None",Q460=""),"Enter the legal deadline",IF(AND(S460&lt;&gt;"",OR(T460="",V460="")),"Record outcome and root cause",IF(AND(P460="",S460="",Settings!$B$4&gt;O460),"Acknowledgment overdue",""))))))))</f>
        <v/>
      </c>
    </row>
    <row r="461" ht="15.75" customHeight="1" s="31">
      <c r="A461" s="44" t="n"/>
      <c r="B461" s="45" t="n"/>
      <c r="C461" s="45" t="n"/>
      <c r="D461" s="44" t="n"/>
      <c r="E461" s="44" t="n"/>
      <c r="F461" s="44" t="n"/>
      <c r="G461" s="44" t="n"/>
      <c r="H461" s="44" t="n"/>
      <c r="I461" s="44" t="n"/>
      <c r="J461" s="44" t="n"/>
      <c r="K461" s="44" t="n"/>
      <c r="L461" s="41">
        <f>IF(B461="","",IF(OR(COUNTIF(Settings!$E$4:$E$9,D461)&gt;0,I461="Yes",J461="Yes",K461="Fair lending allegation"),"Escalated","Standard"))</f>
        <v/>
      </c>
      <c r="M461" s="45" t="n"/>
      <c r="N461" s="45" t="n"/>
      <c r="O461" s="42">
        <f>IF(B461="","",WORKDAY(B461,Settings!$B$7))</f>
        <v/>
      </c>
      <c r="P461" s="45" t="n"/>
      <c r="Q461" s="45" t="n"/>
      <c r="R461" s="42">
        <f>IF(B461="","",IF(Q461&lt;&gt;"",MIN(Q461,IF(L461="Escalated",B461+Settings!$B$9,WORKDAY(B461,Settings!$B$8))),IF(L461="Escalated",B461+Settings!$B$9,WORKDAY(B461,Settings!$B$8))))</f>
        <v/>
      </c>
      <c r="S461" s="45" t="n"/>
      <c r="T461" s="44" t="n"/>
      <c r="U461" s="46" t="n"/>
      <c r="V461" s="44" t="n"/>
      <c r="W461" s="44" t="n"/>
      <c r="X461" s="44" t="n"/>
      <c r="Y461" s="41">
        <f>IF(B461="","",IF(S461&lt;&gt;"",S461,Settings!$B$4)-B461)</f>
        <v/>
      </c>
      <c r="Z461" s="41">
        <f>IF(B461="","",IF(S461&lt;&gt;"",IF(S461&gt;R461,"Closed late","Closed on time"),IF(Settings!$B$4&gt;R461,"Open: overdue","Open")))</f>
        <v/>
      </c>
      <c r="AA461" s="41">
        <f>IF(B461="","",IF(NETWORKDAYS(B461,C461)-1&gt;Settings!$B$5,"Logged late",IF(AND(L461="Escalated",M461=""),"Escalate to Compliance",IF(AND(L461="Escalated",N461=""),"Notify Sponsor Bank",IF(AND(L461="Escalated",N461&lt;&gt;"",NETWORKDAYS(B461,N461)-1&gt;Settings!$B$10),"Sponsor Bank notified late",IF(AND(K461&lt;&gt;"",K461&lt;&gt;"None",Q461=""),"Enter the legal deadline",IF(AND(S461&lt;&gt;"",OR(T461="",V461="")),"Record outcome and root cause",IF(AND(P461="",S461="",Settings!$B$4&gt;O461),"Acknowledgment overdue",""))))))))</f>
        <v/>
      </c>
    </row>
    <row r="462" ht="15.75" customHeight="1" s="31">
      <c r="A462" s="44" t="n"/>
      <c r="B462" s="45" t="n"/>
      <c r="C462" s="45" t="n"/>
      <c r="D462" s="44" t="n"/>
      <c r="E462" s="44" t="n"/>
      <c r="F462" s="44" t="n"/>
      <c r="G462" s="44" t="n"/>
      <c r="H462" s="44" t="n"/>
      <c r="I462" s="44" t="n"/>
      <c r="J462" s="44" t="n"/>
      <c r="K462" s="44" t="n"/>
      <c r="L462" s="41">
        <f>IF(B462="","",IF(OR(COUNTIF(Settings!$E$4:$E$9,D462)&gt;0,I462="Yes",J462="Yes",K462="Fair lending allegation"),"Escalated","Standard"))</f>
        <v/>
      </c>
      <c r="M462" s="45" t="n"/>
      <c r="N462" s="45" t="n"/>
      <c r="O462" s="42">
        <f>IF(B462="","",WORKDAY(B462,Settings!$B$7))</f>
        <v/>
      </c>
      <c r="P462" s="45" t="n"/>
      <c r="Q462" s="45" t="n"/>
      <c r="R462" s="42">
        <f>IF(B462="","",IF(Q462&lt;&gt;"",MIN(Q462,IF(L462="Escalated",B462+Settings!$B$9,WORKDAY(B462,Settings!$B$8))),IF(L462="Escalated",B462+Settings!$B$9,WORKDAY(B462,Settings!$B$8))))</f>
        <v/>
      </c>
      <c r="S462" s="45" t="n"/>
      <c r="T462" s="44" t="n"/>
      <c r="U462" s="46" t="n"/>
      <c r="V462" s="44" t="n"/>
      <c r="W462" s="44" t="n"/>
      <c r="X462" s="44" t="n"/>
      <c r="Y462" s="41">
        <f>IF(B462="","",IF(S462&lt;&gt;"",S462,Settings!$B$4)-B462)</f>
        <v/>
      </c>
      <c r="Z462" s="41">
        <f>IF(B462="","",IF(S462&lt;&gt;"",IF(S462&gt;R462,"Closed late","Closed on time"),IF(Settings!$B$4&gt;R462,"Open: overdue","Open")))</f>
        <v/>
      </c>
      <c r="AA462" s="41">
        <f>IF(B462="","",IF(NETWORKDAYS(B462,C462)-1&gt;Settings!$B$5,"Logged late",IF(AND(L462="Escalated",M462=""),"Escalate to Compliance",IF(AND(L462="Escalated",N462=""),"Notify Sponsor Bank",IF(AND(L462="Escalated",N462&lt;&gt;"",NETWORKDAYS(B462,N462)-1&gt;Settings!$B$10),"Sponsor Bank notified late",IF(AND(K462&lt;&gt;"",K462&lt;&gt;"None",Q462=""),"Enter the legal deadline",IF(AND(S462&lt;&gt;"",OR(T462="",V462="")),"Record outcome and root cause",IF(AND(P462="",S462="",Settings!$B$4&gt;O462),"Acknowledgment overdue",""))))))))</f>
        <v/>
      </c>
    </row>
    <row r="463" ht="15.75" customHeight="1" s="31">
      <c r="A463" s="44" t="n"/>
      <c r="B463" s="45" t="n"/>
      <c r="C463" s="45" t="n"/>
      <c r="D463" s="44" t="n"/>
      <c r="E463" s="44" t="n"/>
      <c r="F463" s="44" t="n"/>
      <c r="G463" s="44" t="n"/>
      <c r="H463" s="44" t="n"/>
      <c r="I463" s="44" t="n"/>
      <c r="J463" s="44" t="n"/>
      <c r="K463" s="44" t="n"/>
      <c r="L463" s="41">
        <f>IF(B463="","",IF(OR(COUNTIF(Settings!$E$4:$E$9,D463)&gt;0,I463="Yes",J463="Yes",K463="Fair lending allegation"),"Escalated","Standard"))</f>
        <v/>
      </c>
      <c r="M463" s="45" t="n"/>
      <c r="N463" s="45" t="n"/>
      <c r="O463" s="42">
        <f>IF(B463="","",WORKDAY(B463,Settings!$B$7))</f>
        <v/>
      </c>
      <c r="P463" s="45" t="n"/>
      <c r="Q463" s="45" t="n"/>
      <c r="R463" s="42">
        <f>IF(B463="","",IF(Q463&lt;&gt;"",MIN(Q463,IF(L463="Escalated",B463+Settings!$B$9,WORKDAY(B463,Settings!$B$8))),IF(L463="Escalated",B463+Settings!$B$9,WORKDAY(B463,Settings!$B$8))))</f>
        <v/>
      </c>
      <c r="S463" s="45" t="n"/>
      <c r="T463" s="44" t="n"/>
      <c r="U463" s="46" t="n"/>
      <c r="V463" s="44" t="n"/>
      <c r="W463" s="44" t="n"/>
      <c r="X463" s="44" t="n"/>
      <c r="Y463" s="41">
        <f>IF(B463="","",IF(S463&lt;&gt;"",S463,Settings!$B$4)-B463)</f>
        <v/>
      </c>
      <c r="Z463" s="41">
        <f>IF(B463="","",IF(S463&lt;&gt;"",IF(S463&gt;R463,"Closed late","Closed on time"),IF(Settings!$B$4&gt;R463,"Open: overdue","Open")))</f>
        <v/>
      </c>
      <c r="AA463" s="41">
        <f>IF(B463="","",IF(NETWORKDAYS(B463,C463)-1&gt;Settings!$B$5,"Logged late",IF(AND(L463="Escalated",M463=""),"Escalate to Compliance",IF(AND(L463="Escalated",N463=""),"Notify Sponsor Bank",IF(AND(L463="Escalated",N463&lt;&gt;"",NETWORKDAYS(B463,N463)-1&gt;Settings!$B$10),"Sponsor Bank notified late",IF(AND(K463&lt;&gt;"",K463&lt;&gt;"None",Q463=""),"Enter the legal deadline",IF(AND(S463&lt;&gt;"",OR(T463="",V463="")),"Record outcome and root cause",IF(AND(P463="",S463="",Settings!$B$4&gt;O463),"Acknowledgment overdue",""))))))))</f>
        <v/>
      </c>
    </row>
    <row r="464" ht="15.75" customHeight="1" s="31">
      <c r="A464" s="44" t="n"/>
      <c r="B464" s="45" t="n"/>
      <c r="C464" s="45" t="n"/>
      <c r="D464" s="44" t="n"/>
      <c r="E464" s="44" t="n"/>
      <c r="F464" s="44" t="n"/>
      <c r="G464" s="44" t="n"/>
      <c r="H464" s="44" t="n"/>
      <c r="I464" s="44" t="n"/>
      <c r="J464" s="44" t="n"/>
      <c r="K464" s="44" t="n"/>
      <c r="L464" s="41">
        <f>IF(B464="","",IF(OR(COUNTIF(Settings!$E$4:$E$9,D464)&gt;0,I464="Yes",J464="Yes",K464="Fair lending allegation"),"Escalated","Standard"))</f>
        <v/>
      </c>
      <c r="M464" s="45" t="n"/>
      <c r="N464" s="45" t="n"/>
      <c r="O464" s="42">
        <f>IF(B464="","",WORKDAY(B464,Settings!$B$7))</f>
        <v/>
      </c>
      <c r="P464" s="45" t="n"/>
      <c r="Q464" s="45" t="n"/>
      <c r="R464" s="42">
        <f>IF(B464="","",IF(Q464&lt;&gt;"",MIN(Q464,IF(L464="Escalated",B464+Settings!$B$9,WORKDAY(B464,Settings!$B$8))),IF(L464="Escalated",B464+Settings!$B$9,WORKDAY(B464,Settings!$B$8))))</f>
        <v/>
      </c>
      <c r="S464" s="45" t="n"/>
      <c r="T464" s="44" t="n"/>
      <c r="U464" s="46" t="n"/>
      <c r="V464" s="44" t="n"/>
      <c r="W464" s="44" t="n"/>
      <c r="X464" s="44" t="n"/>
      <c r="Y464" s="41">
        <f>IF(B464="","",IF(S464&lt;&gt;"",S464,Settings!$B$4)-B464)</f>
        <v/>
      </c>
      <c r="Z464" s="41">
        <f>IF(B464="","",IF(S464&lt;&gt;"",IF(S464&gt;R464,"Closed late","Closed on time"),IF(Settings!$B$4&gt;R464,"Open: overdue","Open")))</f>
        <v/>
      </c>
      <c r="AA464" s="41">
        <f>IF(B464="","",IF(NETWORKDAYS(B464,C464)-1&gt;Settings!$B$5,"Logged late",IF(AND(L464="Escalated",M464=""),"Escalate to Compliance",IF(AND(L464="Escalated",N464=""),"Notify Sponsor Bank",IF(AND(L464="Escalated",N464&lt;&gt;"",NETWORKDAYS(B464,N464)-1&gt;Settings!$B$10),"Sponsor Bank notified late",IF(AND(K464&lt;&gt;"",K464&lt;&gt;"None",Q464=""),"Enter the legal deadline",IF(AND(S464&lt;&gt;"",OR(T464="",V464="")),"Record outcome and root cause",IF(AND(P464="",S464="",Settings!$B$4&gt;O464),"Acknowledgment overdue",""))))))))</f>
        <v/>
      </c>
    </row>
    <row r="465" ht="15.75" customHeight="1" s="31">
      <c r="A465" s="44" t="n"/>
      <c r="B465" s="45" t="n"/>
      <c r="C465" s="45" t="n"/>
      <c r="D465" s="44" t="n"/>
      <c r="E465" s="44" t="n"/>
      <c r="F465" s="44" t="n"/>
      <c r="G465" s="44" t="n"/>
      <c r="H465" s="44" t="n"/>
      <c r="I465" s="44" t="n"/>
      <c r="J465" s="44" t="n"/>
      <c r="K465" s="44" t="n"/>
      <c r="L465" s="41">
        <f>IF(B465="","",IF(OR(COUNTIF(Settings!$E$4:$E$9,D465)&gt;0,I465="Yes",J465="Yes",K465="Fair lending allegation"),"Escalated","Standard"))</f>
        <v/>
      </c>
      <c r="M465" s="45" t="n"/>
      <c r="N465" s="45" t="n"/>
      <c r="O465" s="42">
        <f>IF(B465="","",WORKDAY(B465,Settings!$B$7))</f>
        <v/>
      </c>
      <c r="P465" s="45" t="n"/>
      <c r="Q465" s="45" t="n"/>
      <c r="R465" s="42">
        <f>IF(B465="","",IF(Q465&lt;&gt;"",MIN(Q465,IF(L465="Escalated",B465+Settings!$B$9,WORKDAY(B465,Settings!$B$8))),IF(L465="Escalated",B465+Settings!$B$9,WORKDAY(B465,Settings!$B$8))))</f>
        <v/>
      </c>
      <c r="S465" s="45" t="n"/>
      <c r="T465" s="44" t="n"/>
      <c r="U465" s="46" t="n"/>
      <c r="V465" s="44" t="n"/>
      <c r="W465" s="44" t="n"/>
      <c r="X465" s="44" t="n"/>
      <c r="Y465" s="41">
        <f>IF(B465="","",IF(S465&lt;&gt;"",S465,Settings!$B$4)-B465)</f>
        <v/>
      </c>
      <c r="Z465" s="41">
        <f>IF(B465="","",IF(S465&lt;&gt;"",IF(S465&gt;R465,"Closed late","Closed on time"),IF(Settings!$B$4&gt;R465,"Open: overdue","Open")))</f>
        <v/>
      </c>
      <c r="AA465" s="41">
        <f>IF(B465="","",IF(NETWORKDAYS(B465,C465)-1&gt;Settings!$B$5,"Logged late",IF(AND(L465="Escalated",M465=""),"Escalate to Compliance",IF(AND(L465="Escalated",N465=""),"Notify Sponsor Bank",IF(AND(L465="Escalated",N465&lt;&gt;"",NETWORKDAYS(B465,N465)-1&gt;Settings!$B$10),"Sponsor Bank notified late",IF(AND(K465&lt;&gt;"",K465&lt;&gt;"None",Q465=""),"Enter the legal deadline",IF(AND(S465&lt;&gt;"",OR(T465="",V465="")),"Record outcome and root cause",IF(AND(P465="",S465="",Settings!$B$4&gt;O465),"Acknowledgment overdue",""))))))))</f>
        <v/>
      </c>
    </row>
    <row r="466" ht="15.75" customHeight="1" s="31">
      <c r="A466" s="44" t="n"/>
      <c r="B466" s="45" t="n"/>
      <c r="C466" s="45" t="n"/>
      <c r="D466" s="44" t="n"/>
      <c r="E466" s="44" t="n"/>
      <c r="F466" s="44" t="n"/>
      <c r="G466" s="44" t="n"/>
      <c r="H466" s="44" t="n"/>
      <c r="I466" s="44" t="n"/>
      <c r="J466" s="44" t="n"/>
      <c r="K466" s="44" t="n"/>
      <c r="L466" s="41">
        <f>IF(B466="","",IF(OR(COUNTIF(Settings!$E$4:$E$9,D466)&gt;0,I466="Yes",J466="Yes",K466="Fair lending allegation"),"Escalated","Standard"))</f>
        <v/>
      </c>
      <c r="M466" s="45" t="n"/>
      <c r="N466" s="45" t="n"/>
      <c r="O466" s="42">
        <f>IF(B466="","",WORKDAY(B466,Settings!$B$7))</f>
        <v/>
      </c>
      <c r="P466" s="45" t="n"/>
      <c r="Q466" s="45" t="n"/>
      <c r="R466" s="42">
        <f>IF(B466="","",IF(Q466&lt;&gt;"",MIN(Q466,IF(L466="Escalated",B466+Settings!$B$9,WORKDAY(B466,Settings!$B$8))),IF(L466="Escalated",B466+Settings!$B$9,WORKDAY(B466,Settings!$B$8))))</f>
        <v/>
      </c>
      <c r="S466" s="45" t="n"/>
      <c r="T466" s="44" t="n"/>
      <c r="U466" s="46" t="n"/>
      <c r="V466" s="44" t="n"/>
      <c r="W466" s="44" t="n"/>
      <c r="X466" s="44" t="n"/>
      <c r="Y466" s="41">
        <f>IF(B466="","",IF(S466&lt;&gt;"",S466,Settings!$B$4)-B466)</f>
        <v/>
      </c>
      <c r="Z466" s="41">
        <f>IF(B466="","",IF(S466&lt;&gt;"",IF(S466&gt;R466,"Closed late","Closed on time"),IF(Settings!$B$4&gt;R466,"Open: overdue","Open")))</f>
        <v/>
      </c>
      <c r="AA466" s="41">
        <f>IF(B466="","",IF(NETWORKDAYS(B466,C466)-1&gt;Settings!$B$5,"Logged late",IF(AND(L466="Escalated",M466=""),"Escalate to Compliance",IF(AND(L466="Escalated",N466=""),"Notify Sponsor Bank",IF(AND(L466="Escalated",N466&lt;&gt;"",NETWORKDAYS(B466,N466)-1&gt;Settings!$B$10),"Sponsor Bank notified late",IF(AND(K466&lt;&gt;"",K466&lt;&gt;"None",Q466=""),"Enter the legal deadline",IF(AND(S466&lt;&gt;"",OR(T466="",V466="")),"Record outcome and root cause",IF(AND(P466="",S466="",Settings!$B$4&gt;O466),"Acknowledgment overdue",""))))))))</f>
        <v/>
      </c>
    </row>
    <row r="467" ht="15.75" customHeight="1" s="31">
      <c r="A467" s="44" t="n"/>
      <c r="B467" s="45" t="n"/>
      <c r="C467" s="45" t="n"/>
      <c r="D467" s="44" t="n"/>
      <c r="E467" s="44" t="n"/>
      <c r="F467" s="44" t="n"/>
      <c r="G467" s="44" t="n"/>
      <c r="H467" s="44" t="n"/>
      <c r="I467" s="44" t="n"/>
      <c r="J467" s="44" t="n"/>
      <c r="K467" s="44" t="n"/>
      <c r="L467" s="41">
        <f>IF(B467="","",IF(OR(COUNTIF(Settings!$E$4:$E$9,D467)&gt;0,I467="Yes",J467="Yes",K467="Fair lending allegation"),"Escalated","Standard"))</f>
        <v/>
      </c>
      <c r="M467" s="45" t="n"/>
      <c r="N467" s="45" t="n"/>
      <c r="O467" s="42">
        <f>IF(B467="","",WORKDAY(B467,Settings!$B$7))</f>
        <v/>
      </c>
      <c r="P467" s="45" t="n"/>
      <c r="Q467" s="45" t="n"/>
      <c r="R467" s="42">
        <f>IF(B467="","",IF(Q467&lt;&gt;"",MIN(Q467,IF(L467="Escalated",B467+Settings!$B$9,WORKDAY(B467,Settings!$B$8))),IF(L467="Escalated",B467+Settings!$B$9,WORKDAY(B467,Settings!$B$8))))</f>
        <v/>
      </c>
      <c r="S467" s="45" t="n"/>
      <c r="T467" s="44" t="n"/>
      <c r="U467" s="46" t="n"/>
      <c r="V467" s="44" t="n"/>
      <c r="W467" s="44" t="n"/>
      <c r="X467" s="44" t="n"/>
      <c r="Y467" s="41">
        <f>IF(B467="","",IF(S467&lt;&gt;"",S467,Settings!$B$4)-B467)</f>
        <v/>
      </c>
      <c r="Z467" s="41">
        <f>IF(B467="","",IF(S467&lt;&gt;"",IF(S467&gt;R467,"Closed late","Closed on time"),IF(Settings!$B$4&gt;R467,"Open: overdue","Open")))</f>
        <v/>
      </c>
      <c r="AA467" s="41">
        <f>IF(B467="","",IF(NETWORKDAYS(B467,C467)-1&gt;Settings!$B$5,"Logged late",IF(AND(L467="Escalated",M467=""),"Escalate to Compliance",IF(AND(L467="Escalated",N467=""),"Notify Sponsor Bank",IF(AND(L467="Escalated",N467&lt;&gt;"",NETWORKDAYS(B467,N467)-1&gt;Settings!$B$10),"Sponsor Bank notified late",IF(AND(K467&lt;&gt;"",K467&lt;&gt;"None",Q467=""),"Enter the legal deadline",IF(AND(S467&lt;&gt;"",OR(T467="",V467="")),"Record outcome and root cause",IF(AND(P467="",S467="",Settings!$B$4&gt;O467),"Acknowledgment overdue",""))))))))</f>
        <v/>
      </c>
    </row>
    <row r="468" ht="15.75" customHeight="1" s="31">
      <c r="A468" s="44" t="n"/>
      <c r="B468" s="45" t="n"/>
      <c r="C468" s="45" t="n"/>
      <c r="D468" s="44" t="n"/>
      <c r="E468" s="44" t="n"/>
      <c r="F468" s="44" t="n"/>
      <c r="G468" s="44" t="n"/>
      <c r="H468" s="44" t="n"/>
      <c r="I468" s="44" t="n"/>
      <c r="J468" s="44" t="n"/>
      <c r="K468" s="44" t="n"/>
      <c r="L468" s="41">
        <f>IF(B468="","",IF(OR(COUNTIF(Settings!$E$4:$E$9,D468)&gt;0,I468="Yes",J468="Yes",K468="Fair lending allegation"),"Escalated","Standard"))</f>
        <v/>
      </c>
      <c r="M468" s="45" t="n"/>
      <c r="N468" s="45" t="n"/>
      <c r="O468" s="42">
        <f>IF(B468="","",WORKDAY(B468,Settings!$B$7))</f>
        <v/>
      </c>
      <c r="P468" s="45" t="n"/>
      <c r="Q468" s="45" t="n"/>
      <c r="R468" s="42">
        <f>IF(B468="","",IF(Q468&lt;&gt;"",MIN(Q468,IF(L468="Escalated",B468+Settings!$B$9,WORKDAY(B468,Settings!$B$8))),IF(L468="Escalated",B468+Settings!$B$9,WORKDAY(B468,Settings!$B$8))))</f>
        <v/>
      </c>
      <c r="S468" s="45" t="n"/>
      <c r="T468" s="44" t="n"/>
      <c r="U468" s="46" t="n"/>
      <c r="V468" s="44" t="n"/>
      <c r="W468" s="44" t="n"/>
      <c r="X468" s="44" t="n"/>
      <c r="Y468" s="41">
        <f>IF(B468="","",IF(S468&lt;&gt;"",S468,Settings!$B$4)-B468)</f>
        <v/>
      </c>
      <c r="Z468" s="41">
        <f>IF(B468="","",IF(S468&lt;&gt;"",IF(S468&gt;R468,"Closed late","Closed on time"),IF(Settings!$B$4&gt;R468,"Open: overdue","Open")))</f>
        <v/>
      </c>
      <c r="AA468" s="41">
        <f>IF(B468="","",IF(NETWORKDAYS(B468,C468)-1&gt;Settings!$B$5,"Logged late",IF(AND(L468="Escalated",M468=""),"Escalate to Compliance",IF(AND(L468="Escalated",N468=""),"Notify Sponsor Bank",IF(AND(L468="Escalated",N468&lt;&gt;"",NETWORKDAYS(B468,N468)-1&gt;Settings!$B$10),"Sponsor Bank notified late",IF(AND(K468&lt;&gt;"",K468&lt;&gt;"None",Q468=""),"Enter the legal deadline",IF(AND(S468&lt;&gt;"",OR(T468="",V468="")),"Record outcome and root cause",IF(AND(P468="",S468="",Settings!$B$4&gt;O468),"Acknowledgment overdue",""))))))))</f>
        <v/>
      </c>
    </row>
    <row r="469" ht="15.75" customHeight="1" s="31">
      <c r="A469" s="44" t="n"/>
      <c r="B469" s="45" t="n"/>
      <c r="C469" s="45" t="n"/>
      <c r="D469" s="44" t="n"/>
      <c r="E469" s="44" t="n"/>
      <c r="F469" s="44" t="n"/>
      <c r="G469" s="44" t="n"/>
      <c r="H469" s="44" t="n"/>
      <c r="I469" s="44" t="n"/>
      <c r="J469" s="44" t="n"/>
      <c r="K469" s="44" t="n"/>
      <c r="L469" s="41">
        <f>IF(B469="","",IF(OR(COUNTIF(Settings!$E$4:$E$9,D469)&gt;0,I469="Yes",J469="Yes",K469="Fair lending allegation"),"Escalated","Standard"))</f>
        <v/>
      </c>
      <c r="M469" s="45" t="n"/>
      <c r="N469" s="45" t="n"/>
      <c r="O469" s="42">
        <f>IF(B469="","",WORKDAY(B469,Settings!$B$7))</f>
        <v/>
      </c>
      <c r="P469" s="45" t="n"/>
      <c r="Q469" s="45" t="n"/>
      <c r="R469" s="42">
        <f>IF(B469="","",IF(Q469&lt;&gt;"",MIN(Q469,IF(L469="Escalated",B469+Settings!$B$9,WORKDAY(B469,Settings!$B$8))),IF(L469="Escalated",B469+Settings!$B$9,WORKDAY(B469,Settings!$B$8))))</f>
        <v/>
      </c>
      <c r="S469" s="45" t="n"/>
      <c r="T469" s="44" t="n"/>
      <c r="U469" s="46" t="n"/>
      <c r="V469" s="44" t="n"/>
      <c r="W469" s="44" t="n"/>
      <c r="X469" s="44" t="n"/>
      <c r="Y469" s="41">
        <f>IF(B469="","",IF(S469&lt;&gt;"",S469,Settings!$B$4)-B469)</f>
        <v/>
      </c>
      <c r="Z469" s="41">
        <f>IF(B469="","",IF(S469&lt;&gt;"",IF(S469&gt;R469,"Closed late","Closed on time"),IF(Settings!$B$4&gt;R469,"Open: overdue","Open")))</f>
        <v/>
      </c>
      <c r="AA469" s="41">
        <f>IF(B469="","",IF(NETWORKDAYS(B469,C469)-1&gt;Settings!$B$5,"Logged late",IF(AND(L469="Escalated",M469=""),"Escalate to Compliance",IF(AND(L469="Escalated",N469=""),"Notify Sponsor Bank",IF(AND(L469="Escalated",N469&lt;&gt;"",NETWORKDAYS(B469,N469)-1&gt;Settings!$B$10),"Sponsor Bank notified late",IF(AND(K469&lt;&gt;"",K469&lt;&gt;"None",Q469=""),"Enter the legal deadline",IF(AND(S469&lt;&gt;"",OR(T469="",V469="")),"Record outcome and root cause",IF(AND(P469="",S469="",Settings!$B$4&gt;O469),"Acknowledgment overdue",""))))))))</f>
        <v/>
      </c>
    </row>
    <row r="470" ht="15.75" customHeight="1" s="31">
      <c r="A470" s="44" t="n"/>
      <c r="B470" s="45" t="n"/>
      <c r="C470" s="45" t="n"/>
      <c r="D470" s="44" t="n"/>
      <c r="E470" s="44" t="n"/>
      <c r="F470" s="44" t="n"/>
      <c r="G470" s="44" t="n"/>
      <c r="H470" s="44" t="n"/>
      <c r="I470" s="44" t="n"/>
      <c r="J470" s="44" t="n"/>
      <c r="K470" s="44" t="n"/>
      <c r="L470" s="41">
        <f>IF(B470="","",IF(OR(COUNTIF(Settings!$E$4:$E$9,D470)&gt;0,I470="Yes",J470="Yes",K470="Fair lending allegation"),"Escalated","Standard"))</f>
        <v/>
      </c>
      <c r="M470" s="45" t="n"/>
      <c r="N470" s="45" t="n"/>
      <c r="O470" s="42">
        <f>IF(B470="","",WORKDAY(B470,Settings!$B$7))</f>
        <v/>
      </c>
      <c r="P470" s="45" t="n"/>
      <c r="Q470" s="45" t="n"/>
      <c r="R470" s="42">
        <f>IF(B470="","",IF(Q470&lt;&gt;"",MIN(Q470,IF(L470="Escalated",B470+Settings!$B$9,WORKDAY(B470,Settings!$B$8))),IF(L470="Escalated",B470+Settings!$B$9,WORKDAY(B470,Settings!$B$8))))</f>
        <v/>
      </c>
      <c r="S470" s="45" t="n"/>
      <c r="T470" s="44" t="n"/>
      <c r="U470" s="46" t="n"/>
      <c r="V470" s="44" t="n"/>
      <c r="W470" s="44" t="n"/>
      <c r="X470" s="44" t="n"/>
      <c r="Y470" s="41">
        <f>IF(B470="","",IF(S470&lt;&gt;"",S470,Settings!$B$4)-B470)</f>
        <v/>
      </c>
      <c r="Z470" s="41">
        <f>IF(B470="","",IF(S470&lt;&gt;"",IF(S470&gt;R470,"Closed late","Closed on time"),IF(Settings!$B$4&gt;R470,"Open: overdue","Open")))</f>
        <v/>
      </c>
      <c r="AA470" s="41">
        <f>IF(B470="","",IF(NETWORKDAYS(B470,C470)-1&gt;Settings!$B$5,"Logged late",IF(AND(L470="Escalated",M470=""),"Escalate to Compliance",IF(AND(L470="Escalated",N470=""),"Notify Sponsor Bank",IF(AND(L470="Escalated",N470&lt;&gt;"",NETWORKDAYS(B470,N470)-1&gt;Settings!$B$10),"Sponsor Bank notified late",IF(AND(K470&lt;&gt;"",K470&lt;&gt;"None",Q470=""),"Enter the legal deadline",IF(AND(S470&lt;&gt;"",OR(T470="",V470="")),"Record outcome and root cause",IF(AND(P470="",S470="",Settings!$B$4&gt;O470),"Acknowledgment overdue",""))))))))</f>
        <v/>
      </c>
    </row>
    <row r="471" ht="15.75" customHeight="1" s="31">
      <c r="A471" s="44" t="n"/>
      <c r="B471" s="45" t="n"/>
      <c r="C471" s="45" t="n"/>
      <c r="D471" s="44" t="n"/>
      <c r="E471" s="44" t="n"/>
      <c r="F471" s="44" t="n"/>
      <c r="G471" s="44" t="n"/>
      <c r="H471" s="44" t="n"/>
      <c r="I471" s="44" t="n"/>
      <c r="J471" s="44" t="n"/>
      <c r="K471" s="44" t="n"/>
      <c r="L471" s="41">
        <f>IF(B471="","",IF(OR(COUNTIF(Settings!$E$4:$E$9,D471)&gt;0,I471="Yes",J471="Yes",K471="Fair lending allegation"),"Escalated","Standard"))</f>
        <v/>
      </c>
      <c r="M471" s="45" t="n"/>
      <c r="N471" s="45" t="n"/>
      <c r="O471" s="42">
        <f>IF(B471="","",WORKDAY(B471,Settings!$B$7))</f>
        <v/>
      </c>
      <c r="P471" s="45" t="n"/>
      <c r="Q471" s="45" t="n"/>
      <c r="R471" s="42">
        <f>IF(B471="","",IF(Q471&lt;&gt;"",MIN(Q471,IF(L471="Escalated",B471+Settings!$B$9,WORKDAY(B471,Settings!$B$8))),IF(L471="Escalated",B471+Settings!$B$9,WORKDAY(B471,Settings!$B$8))))</f>
        <v/>
      </c>
      <c r="S471" s="45" t="n"/>
      <c r="T471" s="44" t="n"/>
      <c r="U471" s="46" t="n"/>
      <c r="V471" s="44" t="n"/>
      <c r="W471" s="44" t="n"/>
      <c r="X471" s="44" t="n"/>
      <c r="Y471" s="41">
        <f>IF(B471="","",IF(S471&lt;&gt;"",S471,Settings!$B$4)-B471)</f>
        <v/>
      </c>
      <c r="Z471" s="41">
        <f>IF(B471="","",IF(S471&lt;&gt;"",IF(S471&gt;R471,"Closed late","Closed on time"),IF(Settings!$B$4&gt;R471,"Open: overdue","Open")))</f>
        <v/>
      </c>
      <c r="AA471" s="41">
        <f>IF(B471="","",IF(NETWORKDAYS(B471,C471)-1&gt;Settings!$B$5,"Logged late",IF(AND(L471="Escalated",M471=""),"Escalate to Compliance",IF(AND(L471="Escalated",N471=""),"Notify Sponsor Bank",IF(AND(L471="Escalated",N471&lt;&gt;"",NETWORKDAYS(B471,N471)-1&gt;Settings!$B$10),"Sponsor Bank notified late",IF(AND(K471&lt;&gt;"",K471&lt;&gt;"None",Q471=""),"Enter the legal deadline",IF(AND(S471&lt;&gt;"",OR(T471="",V471="")),"Record outcome and root cause",IF(AND(P471="",S471="",Settings!$B$4&gt;O471),"Acknowledgment overdue",""))))))))</f>
        <v/>
      </c>
    </row>
    <row r="472" ht="15.75" customHeight="1" s="31">
      <c r="A472" s="44" t="n"/>
      <c r="B472" s="45" t="n"/>
      <c r="C472" s="45" t="n"/>
      <c r="D472" s="44" t="n"/>
      <c r="E472" s="44" t="n"/>
      <c r="F472" s="44" t="n"/>
      <c r="G472" s="44" t="n"/>
      <c r="H472" s="44" t="n"/>
      <c r="I472" s="44" t="n"/>
      <c r="J472" s="44" t="n"/>
      <c r="K472" s="44" t="n"/>
      <c r="L472" s="41">
        <f>IF(B472="","",IF(OR(COUNTIF(Settings!$E$4:$E$9,D472)&gt;0,I472="Yes",J472="Yes",K472="Fair lending allegation"),"Escalated","Standard"))</f>
        <v/>
      </c>
      <c r="M472" s="45" t="n"/>
      <c r="N472" s="45" t="n"/>
      <c r="O472" s="42">
        <f>IF(B472="","",WORKDAY(B472,Settings!$B$7))</f>
        <v/>
      </c>
      <c r="P472" s="45" t="n"/>
      <c r="Q472" s="45" t="n"/>
      <c r="R472" s="42">
        <f>IF(B472="","",IF(Q472&lt;&gt;"",MIN(Q472,IF(L472="Escalated",B472+Settings!$B$9,WORKDAY(B472,Settings!$B$8))),IF(L472="Escalated",B472+Settings!$B$9,WORKDAY(B472,Settings!$B$8))))</f>
        <v/>
      </c>
      <c r="S472" s="45" t="n"/>
      <c r="T472" s="44" t="n"/>
      <c r="U472" s="46" t="n"/>
      <c r="V472" s="44" t="n"/>
      <c r="W472" s="44" t="n"/>
      <c r="X472" s="44" t="n"/>
      <c r="Y472" s="41">
        <f>IF(B472="","",IF(S472&lt;&gt;"",S472,Settings!$B$4)-B472)</f>
        <v/>
      </c>
      <c r="Z472" s="41">
        <f>IF(B472="","",IF(S472&lt;&gt;"",IF(S472&gt;R472,"Closed late","Closed on time"),IF(Settings!$B$4&gt;R472,"Open: overdue","Open")))</f>
        <v/>
      </c>
      <c r="AA472" s="41">
        <f>IF(B472="","",IF(NETWORKDAYS(B472,C472)-1&gt;Settings!$B$5,"Logged late",IF(AND(L472="Escalated",M472=""),"Escalate to Compliance",IF(AND(L472="Escalated",N472=""),"Notify Sponsor Bank",IF(AND(L472="Escalated",N472&lt;&gt;"",NETWORKDAYS(B472,N472)-1&gt;Settings!$B$10),"Sponsor Bank notified late",IF(AND(K472&lt;&gt;"",K472&lt;&gt;"None",Q472=""),"Enter the legal deadline",IF(AND(S472&lt;&gt;"",OR(T472="",V472="")),"Record outcome and root cause",IF(AND(P472="",S472="",Settings!$B$4&gt;O472),"Acknowledgment overdue",""))))))))</f>
        <v/>
      </c>
    </row>
    <row r="473" ht="15.75" customHeight="1" s="31">
      <c r="A473" s="44" t="n"/>
      <c r="B473" s="45" t="n"/>
      <c r="C473" s="45" t="n"/>
      <c r="D473" s="44" t="n"/>
      <c r="E473" s="44" t="n"/>
      <c r="F473" s="44" t="n"/>
      <c r="G473" s="44" t="n"/>
      <c r="H473" s="44" t="n"/>
      <c r="I473" s="44" t="n"/>
      <c r="J473" s="44" t="n"/>
      <c r="K473" s="44" t="n"/>
      <c r="L473" s="41">
        <f>IF(B473="","",IF(OR(COUNTIF(Settings!$E$4:$E$9,D473)&gt;0,I473="Yes",J473="Yes",K473="Fair lending allegation"),"Escalated","Standard"))</f>
        <v/>
      </c>
      <c r="M473" s="45" t="n"/>
      <c r="N473" s="45" t="n"/>
      <c r="O473" s="42">
        <f>IF(B473="","",WORKDAY(B473,Settings!$B$7))</f>
        <v/>
      </c>
      <c r="P473" s="45" t="n"/>
      <c r="Q473" s="45" t="n"/>
      <c r="R473" s="42">
        <f>IF(B473="","",IF(Q473&lt;&gt;"",MIN(Q473,IF(L473="Escalated",B473+Settings!$B$9,WORKDAY(B473,Settings!$B$8))),IF(L473="Escalated",B473+Settings!$B$9,WORKDAY(B473,Settings!$B$8))))</f>
        <v/>
      </c>
      <c r="S473" s="45" t="n"/>
      <c r="T473" s="44" t="n"/>
      <c r="U473" s="46" t="n"/>
      <c r="V473" s="44" t="n"/>
      <c r="W473" s="44" t="n"/>
      <c r="X473" s="44" t="n"/>
      <c r="Y473" s="41">
        <f>IF(B473="","",IF(S473&lt;&gt;"",S473,Settings!$B$4)-B473)</f>
        <v/>
      </c>
      <c r="Z473" s="41">
        <f>IF(B473="","",IF(S473&lt;&gt;"",IF(S473&gt;R473,"Closed late","Closed on time"),IF(Settings!$B$4&gt;R473,"Open: overdue","Open")))</f>
        <v/>
      </c>
      <c r="AA473" s="41">
        <f>IF(B473="","",IF(NETWORKDAYS(B473,C473)-1&gt;Settings!$B$5,"Logged late",IF(AND(L473="Escalated",M473=""),"Escalate to Compliance",IF(AND(L473="Escalated",N473=""),"Notify Sponsor Bank",IF(AND(L473="Escalated",N473&lt;&gt;"",NETWORKDAYS(B473,N473)-1&gt;Settings!$B$10),"Sponsor Bank notified late",IF(AND(K473&lt;&gt;"",K473&lt;&gt;"None",Q473=""),"Enter the legal deadline",IF(AND(S473&lt;&gt;"",OR(T473="",V473="")),"Record outcome and root cause",IF(AND(P473="",S473="",Settings!$B$4&gt;O473),"Acknowledgment overdue",""))))))))</f>
        <v/>
      </c>
    </row>
    <row r="474" ht="15.75" customHeight="1" s="31">
      <c r="A474" s="44" t="n"/>
      <c r="B474" s="45" t="n"/>
      <c r="C474" s="45" t="n"/>
      <c r="D474" s="44" t="n"/>
      <c r="E474" s="44" t="n"/>
      <c r="F474" s="44" t="n"/>
      <c r="G474" s="44" t="n"/>
      <c r="H474" s="44" t="n"/>
      <c r="I474" s="44" t="n"/>
      <c r="J474" s="44" t="n"/>
      <c r="K474" s="44" t="n"/>
      <c r="L474" s="41">
        <f>IF(B474="","",IF(OR(COUNTIF(Settings!$E$4:$E$9,D474)&gt;0,I474="Yes",J474="Yes",K474="Fair lending allegation"),"Escalated","Standard"))</f>
        <v/>
      </c>
      <c r="M474" s="45" t="n"/>
      <c r="N474" s="45" t="n"/>
      <c r="O474" s="42">
        <f>IF(B474="","",WORKDAY(B474,Settings!$B$7))</f>
        <v/>
      </c>
      <c r="P474" s="45" t="n"/>
      <c r="Q474" s="45" t="n"/>
      <c r="R474" s="42">
        <f>IF(B474="","",IF(Q474&lt;&gt;"",MIN(Q474,IF(L474="Escalated",B474+Settings!$B$9,WORKDAY(B474,Settings!$B$8))),IF(L474="Escalated",B474+Settings!$B$9,WORKDAY(B474,Settings!$B$8))))</f>
        <v/>
      </c>
      <c r="S474" s="45" t="n"/>
      <c r="T474" s="44" t="n"/>
      <c r="U474" s="46" t="n"/>
      <c r="V474" s="44" t="n"/>
      <c r="W474" s="44" t="n"/>
      <c r="X474" s="44" t="n"/>
      <c r="Y474" s="41">
        <f>IF(B474="","",IF(S474&lt;&gt;"",S474,Settings!$B$4)-B474)</f>
        <v/>
      </c>
      <c r="Z474" s="41">
        <f>IF(B474="","",IF(S474&lt;&gt;"",IF(S474&gt;R474,"Closed late","Closed on time"),IF(Settings!$B$4&gt;R474,"Open: overdue","Open")))</f>
        <v/>
      </c>
      <c r="AA474" s="41">
        <f>IF(B474="","",IF(NETWORKDAYS(B474,C474)-1&gt;Settings!$B$5,"Logged late",IF(AND(L474="Escalated",M474=""),"Escalate to Compliance",IF(AND(L474="Escalated",N474=""),"Notify Sponsor Bank",IF(AND(L474="Escalated",N474&lt;&gt;"",NETWORKDAYS(B474,N474)-1&gt;Settings!$B$10),"Sponsor Bank notified late",IF(AND(K474&lt;&gt;"",K474&lt;&gt;"None",Q474=""),"Enter the legal deadline",IF(AND(S474&lt;&gt;"",OR(T474="",V474="")),"Record outcome and root cause",IF(AND(P474="",S474="",Settings!$B$4&gt;O474),"Acknowledgment overdue",""))))))))</f>
        <v/>
      </c>
    </row>
    <row r="475" ht="15.75" customHeight="1" s="31">
      <c r="A475" s="44" t="n"/>
      <c r="B475" s="45" t="n"/>
      <c r="C475" s="45" t="n"/>
      <c r="D475" s="44" t="n"/>
      <c r="E475" s="44" t="n"/>
      <c r="F475" s="44" t="n"/>
      <c r="G475" s="44" t="n"/>
      <c r="H475" s="44" t="n"/>
      <c r="I475" s="44" t="n"/>
      <c r="J475" s="44" t="n"/>
      <c r="K475" s="44" t="n"/>
      <c r="L475" s="41">
        <f>IF(B475="","",IF(OR(COUNTIF(Settings!$E$4:$E$9,D475)&gt;0,I475="Yes",J475="Yes",K475="Fair lending allegation"),"Escalated","Standard"))</f>
        <v/>
      </c>
      <c r="M475" s="45" t="n"/>
      <c r="N475" s="45" t="n"/>
      <c r="O475" s="42">
        <f>IF(B475="","",WORKDAY(B475,Settings!$B$7))</f>
        <v/>
      </c>
      <c r="P475" s="45" t="n"/>
      <c r="Q475" s="45" t="n"/>
      <c r="R475" s="42">
        <f>IF(B475="","",IF(Q475&lt;&gt;"",MIN(Q475,IF(L475="Escalated",B475+Settings!$B$9,WORKDAY(B475,Settings!$B$8))),IF(L475="Escalated",B475+Settings!$B$9,WORKDAY(B475,Settings!$B$8))))</f>
        <v/>
      </c>
      <c r="S475" s="45" t="n"/>
      <c r="T475" s="44" t="n"/>
      <c r="U475" s="46" t="n"/>
      <c r="V475" s="44" t="n"/>
      <c r="W475" s="44" t="n"/>
      <c r="X475" s="44" t="n"/>
      <c r="Y475" s="41">
        <f>IF(B475="","",IF(S475&lt;&gt;"",S475,Settings!$B$4)-B475)</f>
        <v/>
      </c>
      <c r="Z475" s="41">
        <f>IF(B475="","",IF(S475&lt;&gt;"",IF(S475&gt;R475,"Closed late","Closed on time"),IF(Settings!$B$4&gt;R475,"Open: overdue","Open")))</f>
        <v/>
      </c>
      <c r="AA475" s="41">
        <f>IF(B475="","",IF(NETWORKDAYS(B475,C475)-1&gt;Settings!$B$5,"Logged late",IF(AND(L475="Escalated",M475=""),"Escalate to Compliance",IF(AND(L475="Escalated",N475=""),"Notify Sponsor Bank",IF(AND(L475="Escalated",N475&lt;&gt;"",NETWORKDAYS(B475,N475)-1&gt;Settings!$B$10),"Sponsor Bank notified late",IF(AND(K475&lt;&gt;"",K475&lt;&gt;"None",Q475=""),"Enter the legal deadline",IF(AND(S475&lt;&gt;"",OR(T475="",V475="")),"Record outcome and root cause",IF(AND(P475="",S475="",Settings!$B$4&gt;O475),"Acknowledgment overdue",""))))))))</f>
        <v/>
      </c>
    </row>
    <row r="476" ht="15.75" customHeight="1" s="31">
      <c r="A476" s="44" t="n"/>
      <c r="B476" s="45" t="n"/>
      <c r="C476" s="45" t="n"/>
      <c r="D476" s="44" t="n"/>
      <c r="E476" s="44" t="n"/>
      <c r="F476" s="44" t="n"/>
      <c r="G476" s="44" t="n"/>
      <c r="H476" s="44" t="n"/>
      <c r="I476" s="44" t="n"/>
      <c r="J476" s="44" t="n"/>
      <c r="K476" s="44" t="n"/>
      <c r="L476" s="41">
        <f>IF(B476="","",IF(OR(COUNTIF(Settings!$E$4:$E$9,D476)&gt;0,I476="Yes",J476="Yes",K476="Fair lending allegation"),"Escalated","Standard"))</f>
        <v/>
      </c>
      <c r="M476" s="45" t="n"/>
      <c r="N476" s="45" t="n"/>
      <c r="O476" s="42">
        <f>IF(B476="","",WORKDAY(B476,Settings!$B$7))</f>
        <v/>
      </c>
      <c r="P476" s="45" t="n"/>
      <c r="Q476" s="45" t="n"/>
      <c r="R476" s="42">
        <f>IF(B476="","",IF(Q476&lt;&gt;"",MIN(Q476,IF(L476="Escalated",B476+Settings!$B$9,WORKDAY(B476,Settings!$B$8))),IF(L476="Escalated",B476+Settings!$B$9,WORKDAY(B476,Settings!$B$8))))</f>
        <v/>
      </c>
      <c r="S476" s="45" t="n"/>
      <c r="T476" s="44" t="n"/>
      <c r="U476" s="46" t="n"/>
      <c r="V476" s="44" t="n"/>
      <c r="W476" s="44" t="n"/>
      <c r="X476" s="44" t="n"/>
      <c r="Y476" s="41">
        <f>IF(B476="","",IF(S476&lt;&gt;"",S476,Settings!$B$4)-B476)</f>
        <v/>
      </c>
      <c r="Z476" s="41">
        <f>IF(B476="","",IF(S476&lt;&gt;"",IF(S476&gt;R476,"Closed late","Closed on time"),IF(Settings!$B$4&gt;R476,"Open: overdue","Open")))</f>
        <v/>
      </c>
      <c r="AA476" s="41">
        <f>IF(B476="","",IF(NETWORKDAYS(B476,C476)-1&gt;Settings!$B$5,"Logged late",IF(AND(L476="Escalated",M476=""),"Escalate to Compliance",IF(AND(L476="Escalated",N476=""),"Notify Sponsor Bank",IF(AND(L476="Escalated",N476&lt;&gt;"",NETWORKDAYS(B476,N476)-1&gt;Settings!$B$10),"Sponsor Bank notified late",IF(AND(K476&lt;&gt;"",K476&lt;&gt;"None",Q476=""),"Enter the legal deadline",IF(AND(S476&lt;&gt;"",OR(T476="",V476="")),"Record outcome and root cause",IF(AND(P476="",S476="",Settings!$B$4&gt;O476),"Acknowledgment overdue",""))))))))</f>
        <v/>
      </c>
    </row>
    <row r="477" ht="15.75" customHeight="1" s="31">
      <c r="A477" s="44" t="n"/>
      <c r="B477" s="45" t="n"/>
      <c r="C477" s="45" t="n"/>
      <c r="D477" s="44" t="n"/>
      <c r="E477" s="44" t="n"/>
      <c r="F477" s="44" t="n"/>
      <c r="G477" s="44" t="n"/>
      <c r="H477" s="44" t="n"/>
      <c r="I477" s="44" t="n"/>
      <c r="J477" s="44" t="n"/>
      <c r="K477" s="44" t="n"/>
      <c r="L477" s="41">
        <f>IF(B477="","",IF(OR(COUNTIF(Settings!$E$4:$E$9,D477)&gt;0,I477="Yes",J477="Yes",K477="Fair lending allegation"),"Escalated","Standard"))</f>
        <v/>
      </c>
      <c r="M477" s="45" t="n"/>
      <c r="N477" s="45" t="n"/>
      <c r="O477" s="42">
        <f>IF(B477="","",WORKDAY(B477,Settings!$B$7))</f>
        <v/>
      </c>
      <c r="P477" s="45" t="n"/>
      <c r="Q477" s="45" t="n"/>
      <c r="R477" s="42">
        <f>IF(B477="","",IF(Q477&lt;&gt;"",MIN(Q477,IF(L477="Escalated",B477+Settings!$B$9,WORKDAY(B477,Settings!$B$8))),IF(L477="Escalated",B477+Settings!$B$9,WORKDAY(B477,Settings!$B$8))))</f>
        <v/>
      </c>
      <c r="S477" s="45" t="n"/>
      <c r="T477" s="44" t="n"/>
      <c r="U477" s="46" t="n"/>
      <c r="V477" s="44" t="n"/>
      <c r="W477" s="44" t="n"/>
      <c r="X477" s="44" t="n"/>
      <c r="Y477" s="41">
        <f>IF(B477="","",IF(S477&lt;&gt;"",S477,Settings!$B$4)-B477)</f>
        <v/>
      </c>
      <c r="Z477" s="41">
        <f>IF(B477="","",IF(S477&lt;&gt;"",IF(S477&gt;R477,"Closed late","Closed on time"),IF(Settings!$B$4&gt;R477,"Open: overdue","Open")))</f>
        <v/>
      </c>
      <c r="AA477" s="41">
        <f>IF(B477="","",IF(NETWORKDAYS(B477,C477)-1&gt;Settings!$B$5,"Logged late",IF(AND(L477="Escalated",M477=""),"Escalate to Compliance",IF(AND(L477="Escalated",N477=""),"Notify Sponsor Bank",IF(AND(L477="Escalated",N477&lt;&gt;"",NETWORKDAYS(B477,N477)-1&gt;Settings!$B$10),"Sponsor Bank notified late",IF(AND(K477&lt;&gt;"",K477&lt;&gt;"None",Q477=""),"Enter the legal deadline",IF(AND(S477&lt;&gt;"",OR(T477="",V477="")),"Record outcome and root cause",IF(AND(P477="",S477="",Settings!$B$4&gt;O477),"Acknowledgment overdue",""))))))))</f>
        <v/>
      </c>
    </row>
    <row r="478" ht="15.75" customHeight="1" s="31">
      <c r="A478" s="44" t="n"/>
      <c r="B478" s="45" t="n"/>
      <c r="C478" s="45" t="n"/>
      <c r="D478" s="44" t="n"/>
      <c r="E478" s="44" t="n"/>
      <c r="F478" s="44" t="n"/>
      <c r="G478" s="44" t="n"/>
      <c r="H478" s="44" t="n"/>
      <c r="I478" s="44" t="n"/>
      <c r="J478" s="44" t="n"/>
      <c r="K478" s="44" t="n"/>
      <c r="L478" s="41">
        <f>IF(B478="","",IF(OR(COUNTIF(Settings!$E$4:$E$9,D478)&gt;0,I478="Yes",J478="Yes",K478="Fair lending allegation"),"Escalated","Standard"))</f>
        <v/>
      </c>
      <c r="M478" s="45" t="n"/>
      <c r="N478" s="45" t="n"/>
      <c r="O478" s="42">
        <f>IF(B478="","",WORKDAY(B478,Settings!$B$7))</f>
        <v/>
      </c>
      <c r="P478" s="45" t="n"/>
      <c r="Q478" s="45" t="n"/>
      <c r="R478" s="42">
        <f>IF(B478="","",IF(Q478&lt;&gt;"",MIN(Q478,IF(L478="Escalated",B478+Settings!$B$9,WORKDAY(B478,Settings!$B$8))),IF(L478="Escalated",B478+Settings!$B$9,WORKDAY(B478,Settings!$B$8))))</f>
        <v/>
      </c>
      <c r="S478" s="45" t="n"/>
      <c r="T478" s="44" t="n"/>
      <c r="U478" s="46" t="n"/>
      <c r="V478" s="44" t="n"/>
      <c r="W478" s="44" t="n"/>
      <c r="X478" s="44" t="n"/>
      <c r="Y478" s="41">
        <f>IF(B478="","",IF(S478&lt;&gt;"",S478,Settings!$B$4)-B478)</f>
        <v/>
      </c>
      <c r="Z478" s="41">
        <f>IF(B478="","",IF(S478&lt;&gt;"",IF(S478&gt;R478,"Closed late","Closed on time"),IF(Settings!$B$4&gt;R478,"Open: overdue","Open")))</f>
        <v/>
      </c>
      <c r="AA478" s="41">
        <f>IF(B478="","",IF(NETWORKDAYS(B478,C478)-1&gt;Settings!$B$5,"Logged late",IF(AND(L478="Escalated",M478=""),"Escalate to Compliance",IF(AND(L478="Escalated",N478=""),"Notify Sponsor Bank",IF(AND(L478="Escalated",N478&lt;&gt;"",NETWORKDAYS(B478,N478)-1&gt;Settings!$B$10),"Sponsor Bank notified late",IF(AND(K478&lt;&gt;"",K478&lt;&gt;"None",Q478=""),"Enter the legal deadline",IF(AND(S478&lt;&gt;"",OR(T478="",V478="")),"Record outcome and root cause",IF(AND(P478="",S478="",Settings!$B$4&gt;O478),"Acknowledgment overdue",""))))))))</f>
        <v/>
      </c>
    </row>
    <row r="479" ht="15.75" customHeight="1" s="31">
      <c r="A479" s="44" t="n"/>
      <c r="B479" s="45" t="n"/>
      <c r="C479" s="45" t="n"/>
      <c r="D479" s="44" t="n"/>
      <c r="E479" s="44" t="n"/>
      <c r="F479" s="44" t="n"/>
      <c r="G479" s="44" t="n"/>
      <c r="H479" s="44" t="n"/>
      <c r="I479" s="44" t="n"/>
      <c r="J479" s="44" t="n"/>
      <c r="K479" s="44" t="n"/>
      <c r="L479" s="41">
        <f>IF(B479="","",IF(OR(COUNTIF(Settings!$E$4:$E$9,D479)&gt;0,I479="Yes",J479="Yes",K479="Fair lending allegation"),"Escalated","Standard"))</f>
        <v/>
      </c>
      <c r="M479" s="45" t="n"/>
      <c r="N479" s="45" t="n"/>
      <c r="O479" s="42">
        <f>IF(B479="","",WORKDAY(B479,Settings!$B$7))</f>
        <v/>
      </c>
      <c r="P479" s="45" t="n"/>
      <c r="Q479" s="45" t="n"/>
      <c r="R479" s="42">
        <f>IF(B479="","",IF(Q479&lt;&gt;"",MIN(Q479,IF(L479="Escalated",B479+Settings!$B$9,WORKDAY(B479,Settings!$B$8))),IF(L479="Escalated",B479+Settings!$B$9,WORKDAY(B479,Settings!$B$8))))</f>
        <v/>
      </c>
      <c r="S479" s="45" t="n"/>
      <c r="T479" s="44" t="n"/>
      <c r="U479" s="46" t="n"/>
      <c r="V479" s="44" t="n"/>
      <c r="W479" s="44" t="n"/>
      <c r="X479" s="44" t="n"/>
      <c r="Y479" s="41">
        <f>IF(B479="","",IF(S479&lt;&gt;"",S479,Settings!$B$4)-B479)</f>
        <v/>
      </c>
      <c r="Z479" s="41">
        <f>IF(B479="","",IF(S479&lt;&gt;"",IF(S479&gt;R479,"Closed late","Closed on time"),IF(Settings!$B$4&gt;R479,"Open: overdue","Open")))</f>
        <v/>
      </c>
      <c r="AA479" s="41">
        <f>IF(B479="","",IF(NETWORKDAYS(B479,C479)-1&gt;Settings!$B$5,"Logged late",IF(AND(L479="Escalated",M479=""),"Escalate to Compliance",IF(AND(L479="Escalated",N479=""),"Notify Sponsor Bank",IF(AND(L479="Escalated",N479&lt;&gt;"",NETWORKDAYS(B479,N479)-1&gt;Settings!$B$10),"Sponsor Bank notified late",IF(AND(K479&lt;&gt;"",K479&lt;&gt;"None",Q479=""),"Enter the legal deadline",IF(AND(S479&lt;&gt;"",OR(T479="",V479="")),"Record outcome and root cause",IF(AND(P479="",S479="",Settings!$B$4&gt;O479),"Acknowledgment overdue",""))))))))</f>
        <v/>
      </c>
    </row>
    <row r="480" ht="15.75" customHeight="1" s="31">
      <c r="A480" s="44" t="n"/>
      <c r="B480" s="45" t="n"/>
      <c r="C480" s="45" t="n"/>
      <c r="D480" s="44" t="n"/>
      <c r="E480" s="44" t="n"/>
      <c r="F480" s="44" t="n"/>
      <c r="G480" s="44" t="n"/>
      <c r="H480" s="44" t="n"/>
      <c r="I480" s="44" t="n"/>
      <c r="J480" s="44" t="n"/>
      <c r="K480" s="44" t="n"/>
      <c r="L480" s="41">
        <f>IF(B480="","",IF(OR(COUNTIF(Settings!$E$4:$E$9,D480)&gt;0,I480="Yes",J480="Yes",K480="Fair lending allegation"),"Escalated","Standard"))</f>
        <v/>
      </c>
      <c r="M480" s="45" t="n"/>
      <c r="N480" s="45" t="n"/>
      <c r="O480" s="42">
        <f>IF(B480="","",WORKDAY(B480,Settings!$B$7))</f>
        <v/>
      </c>
      <c r="P480" s="45" t="n"/>
      <c r="Q480" s="45" t="n"/>
      <c r="R480" s="42">
        <f>IF(B480="","",IF(Q480&lt;&gt;"",MIN(Q480,IF(L480="Escalated",B480+Settings!$B$9,WORKDAY(B480,Settings!$B$8))),IF(L480="Escalated",B480+Settings!$B$9,WORKDAY(B480,Settings!$B$8))))</f>
        <v/>
      </c>
      <c r="S480" s="45" t="n"/>
      <c r="T480" s="44" t="n"/>
      <c r="U480" s="46" t="n"/>
      <c r="V480" s="44" t="n"/>
      <c r="W480" s="44" t="n"/>
      <c r="X480" s="44" t="n"/>
      <c r="Y480" s="41">
        <f>IF(B480="","",IF(S480&lt;&gt;"",S480,Settings!$B$4)-B480)</f>
        <v/>
      </c>
      <c r="Z480" s="41">
        <f>IF(B480="","",IF(S480&lt;&gt;"",IF(S480&gt;R480,"Closed late","Closed on time"),IF(Settings!$B$4&gt;R480,"Open: overdue","Open")))</f>
        <v/>
      </c>
      <c r="AA480" s="41">
        <f>IF(B480="","",IF(NETWORKDAYS(B480,C480)-1&gt;Settings!$B$5,"Logged late",IF(AND(L480="Escalated",M480=""),"Escalate to Compliance",IF(AND(L480="Escalated",N480=""),"Notify Sponsor Bank",IF(AND(L480="Escalated",N480&lt;&gt;"",NETWORKDAYS(B480,N480)-1&gt;Settings!$B$10),"Sponsor Bank notified late",IF(AND(K480&lt;&gt;"",K480&lt;&gt;"None",Q480=""),"Enter the legal deadline",IF(AND(S480&lt;&gt;"",OR(T480="",V480="")),"Record outcome and root cause",IF(AND(P480="",S480="",Settings!$B$4&gt;O480),"Acknowledgment overdue",""))))))))</f>
        <v/>
      </c>
    </row>
    <row r="481" ht="15.75" customHeight="1" s="31">
      <c r="A481" s="44" t="n"/>
      <c r="B481" s="45" t="n"/>
      <c r="C481" s="45" t="n"/>
      <c r="D481" s="44" t="n"/>
      <c r="E481" s="44" t="n"/>
      <c r="F481" s="44" t="n"/>
      <c r="G481" s="44" t="n"/>
      <c r="H481" s="44" t="n"/>
      <c r="I481" s="44" t="n"/>
      <c r="J481" s="44" t="n"/>
      <c r="K481" s="44" t="n"/>
      <c r="L481" s="41">
        <f>IF(B481="","",IF(OR(COUNTIF(Settings!$E$4:$E$9,D481)&gt;0,I481="Yes",J481="Yes",K481="Fair lending allegation"),"Escalated","Standard"))</f>
        <v/>
      </c>
      <c r="M481" s="45" t="n"/>
      <c r="N481" s="45" t="n"/>
      <c r="O481" s="42">
        <f>IF(B481="","",WORKDAY(B481,Settings!$B$7))</f>
        <v/>
      </c>
      <c r="P481" s="45" t="n"/>
      <c r="Q481" s="45" t="n"/>
      <c r="R481" s="42">
        <f>IF(B481="","",IF(Q481&lt;&gt;"",MIN(Q481,IF(L481="Escalated",B481+Settings!$B$9,WORKDAY(B481,Settings!$B$8))),IF(L481="Escalated",B481+Settings!$B$9,WORKDAY(B481,Settings!$B$8))))</f>
        <v/>
      </c>
      <c r="S481" s="45" t="n"/>
      <c r="T481" s="44" t="n"/>
      <c r="U481" s="46" t="n"/>
      <c r="V481" s="44" t="n"/>
      <c r="W481" s="44" t="n"/>
      <c r="X481" s="44" t="n"/>
      <c r="Y481" s="41">
        <f>IF(B481="","",IF(S481&lt;&gt;"",S481,Settings!$B$4)-B481)</f>
        <v/>
      </c>
      <c r="Z481" s="41">
        <f>IF(B481="","",IF(S481&lt;&gt;"",IF(S481&gt;R481,"Closed late","Closed on time"),IF(Settings!$B$4&gt;R481,"Open: overdue","Open")))</f>
        <v/>
      </c>
      <c r="AA481" s="41">
        <f>IF(B481="","",IF(NETWORKDAYS(B481,C481)-1&gt;Settings!$B$5,"Logged late",IF(AND(L481="Escalated",M481=""),"Escalate to Compliance",IF(AND(L481="Escalated",N481=""),"Notify Sponsor Bank",IF(AND(L481="Escalated",N481&lt;&gt;"",NETWORKDAYS(B481,N481)-1&gt;Settings!$B$10),"Sponsor Bank notified late",IF(AND(K481&lt;&gt;"",K481&lt;&gt;"None",Q481=""),"Enter the legal deadline",IF(AND(S481&lt;&gt;"",OR(T481="",V481="")),"Record outcome and root cause",IF(AND(P481="",S481="",Settings!$B$4&gt;O481),"Acknowledgment overdue",""))))))))</f>
        <v/>
      </c>
    </row>
    <row r="482" ht="15.75" customHeight="1" s="31">
      <c r="A482" s="44" t="n"/>
      <c r="B482" s="45" t="n"/>
      <c r="C482" s="45" t="n"/>
      <c r="D482" s="44" t="n"/>
      <c r="E482" s="44" t="n"/>
      <c r="F482" s="44" t="n"/>
      <c r="G482" s="44" t="n"/>
      <c r="H482" s="44" t="n"/>
      <c r="I482" s="44" t="n"/>
      <c r="J482" s="44" t="n"/>
      <c r="K482" s="44" t="n"/>
      <c r="L482" s="41">
        <f>IF(B482="","",IF(OR(COUNTIF(Settings!$E$4:$E$9,D482)&gt;0,I482="Yes",J482="Yes",K482="Fair lending allegation"),"Escalated","Standard"))</f>
        <v/>
      </c>
      <c r="M482" s="45" t="n"/>
      <c r="N482" s="45" t="n"/>
      <c r="O482" s="42">
        <f>IF(B482="","",WORKDAY(B482,Settings!$B$7))</f>
        <v/>
      </c>
      <c r="P482" s="45" t="n"/>
      <c r="Q482" s="45" t="n"/>
      <c r="R482" s="42">
        <f>IF(B482="","",IF(Q482&lt;&gt;"",MIN(Q482,IF(L482="Escalated",B482+Settings!$B$9,WORKDAY(B482,Settings!$B$8))),IF(L482="Escalated",B482+Settings!$B$9,WORKDAY(B482,Settings!$B$8))))</f>
        <v/>
      </c>
      <c r="S482" s="45" t="n"/>
      <c r="T482" s="44" t="n"/>
      <c r="U482" s="46" t="n"/>
      <c r="V482" s="44" t="n"/>
      <c r="W482" s="44" t="n"/>
      <c r="X482" s="44" t="n"/>
      <c r="Y482" s="41">
        <f>IF(B482="","",IF(S482&lt;&gt;"",S482,Settings!$B$4)-B482)</f>
        <v/>
      </c>
      <c r="Z482" s="41">
        <f>IF(B482="","",IF(S482&lt;&gt;"",IF(S482&gt;R482,"Closed late","Closed on time"),IF(Settings!$B$4&gt;R482,"Open: overdue","Open")))</f>
        <v/>
      </c>
      <c r="AA482" s="41">
        <f>IF(B482="","",IF(NETWORKDAYS(B482,C482)-1&gt;Settings!$B$5,"Logged late",IF(AND(L482="Escalated",M482=""),"Escalate to Compliance",IF(AND(L482="Escalated",N482=""),"Notify Sponsor Bank",IF(AND(L482="Escalated",N482&lt;&gt;"",NETWORKDAYS(B482,N482)-1&gt;Settings!$B$10),"Sponsor Bank notified late",IF(AND(K482&lt;&gt;"",K482&lt;&gt;"None",Q482=""),"Enter the legal deadline",IF(AND(S482&lt;&gt;"",OR(T482="",V482="")),"Record outcome and root cause",IF(AND(P482="",S482="",Settings!$B$4&gt;O482),"Acknowledgment overdue",""))))))))</f>
        <v/>
      </c>
    </row>
    <row r="483" ht="15.75" customHeight="1" s="31">
      <c r="A483" s="44" t="n"/>
      <c r="B483" s="45" t="n"/>
      <c r="C483" s="45" t="n"/>
      <c r="D483" s="44" t="n"/>
      <c r="E483" s="44" t="n"/>
      <c r="F483" s="44" t="n"/>
      <c r="G483" s="44" t="n"/>
      <c r="H483" s="44" t="n"/>
      <c r="I483" s="44" t="n"/>
      <c r="J483" s="44" t="n"/>
      <c r="K483" s="44" t="n"/>
      <c r="L483" s="41">
        <f>IF(B483="","",IF(OR(COUNTIF(Settings!$E$4:$E$9,D483)&gt;0,I483="Yes",J483="Yes",K483="Fair lending allegation"),"Escalated","Standard"))</f>
        <v/>
      </c>
      <c r="M483" s="45" t="n"/>
      <c r="N483" s="45" t="n"/>
      <c r="O483" s="42">
        <f>IF(B483="","",WORKDAY(B483,Settings!$B$7))</f>
        <v/>
      </c>
      <c r="P483" s="45" t="n"/>
      <c r="Q483" s="45" t="n"/>
      <c r="R483" s="42">
        <f>IF(B483="","",IF(Q483&lt;&gt;"",MIN(Q483,IF(L483="Escalated",B483+Settings!$B$9,WORKDAY(B483,Settings!$B$8))),IF(L483="Escalated",B483+Settings!$B$9,WORKDAY(B483,Settings!$B$8))))</f>
        <v/>
      </c>
      <c r="S483" s="45" t="n"/>
      <c r="T483" s="44" t="n"/>
      <c r="U483" s="46" t="n"/>
      <c r="V483" s="44" t="n"/>
      <c r="W483" s="44" t="n"/>
      <c r="X483" s="44" t="n"/>
      <c r="Y483" s="41">
        <f>IF(B483="","",IF(S483&lt;&gt;"",S483,Settings!$B$4)-B483)</f>
        <v/>
      </c>
      <c r="Z483" s="41">
        <f>IF(B483="","",IF(S483&lt;&gt;"",IF(S483&gt;R483,"Closed late","Closed on time"),IF(Settings!$B$4&gt;R483,"Open: overdue","Open")))</f>
        <v/>
      </c>
      <c r="AA483" s="41">
        <f>IF(B483="","",IF(NETWORKDAYS(B483,C483)-1&gt;Settings!$B$5,"Logged late",IF(AND(L483="Escalated",M483=""),"Escalate to Compliance",IF(AND(L483="Escalated",N483=""),"Notify Sponsor Bank",IF(AND(L483="Escalated",N483&lt;&gt;"",NETWORKDAYS(B483,N483)-1&gt;Settings!$B$10),"Sponsor Bank notified late",IF(AND(K483&lt;&gt;"",K483&lt;&gt;"None",Q483=""),"Enter the legal deadline",IF(AND(S483&lt;&gt;"",OR(T483="",V483="")),"Record outcome and root cause",IF(AND(P483="",S483="",Settings!$B$4&gt;O483),"Acknowledgment overdue",""))))))))</f>
        <v/>
      </c>
    </row>
    <row r="484" ht="15.75" customHeight="1" s="31">
      <c r="A484" s="44" t="n"/>
      <c r="B484" s="45" t="n"/>
      <c r="C484" s="45" t="n"/>
      <c r="D484" s="44" t="n"/>
      <c r="E484" s="44" t="n"/>
      <c r="F484" s="44" t="n"/>
      <c r="G484" s="44" t="n"/>
      <c r="H484" s="44" t="n"/>
      <c r="I484" s="44" t="n"/>
      <c r="J484" s="44" t="n"/>
      <c r="K484" s="44" t="n"/>
      <c r="L484" s="41">
        <f>IF(B484="","",IF(OR(COUNTIF(Settings!$E$4:$E$9,D484)&gt;0,I484="Yes",J484="Yes",K484="Fair lending allegation"),"Escalated","Standard"))</f>
        <v/>
      </c>
      <c r="M484" s="45" t="n"/>
      <c r="N484" s="45" t="n"/>
      <c r="O484" s="42">
        <f>IF(B484="","",WORKDAY(B484,Settings!$B$7))</f>
        <v/>
      </c>
      <c r="P484" s="45" t="n"/>
      <c r="Q484" s="45" t="n"/>
      <c r="R484" s="42">
        <f>IF(B484="","",IF(Q484&lt;&gt;"",MIN(Q484,IF(L484="Escalated",B484+Settings!$B$9,WORKDAY(B484,Settings!$B$8))),IF(L484="Escalated",B484+Settings!$B$9,WORKDAY(B484,Settings!$B$8))))</f>
        <v/>
      </c>
      <c r="S484" s="45" t="n"/>
      <c r="T484" s="44" t="n"/>
      <c r="U484" s="46" t="n"/>
      <c r="V484" s="44" t="n"/>
      <c r="W484" s="44" t="n"/>
      <c r="X484" s="44" t="n"/>
      <c r="Y484" s="41">
        <f>IF(B484="","",IF(S484&lt;&gt;"",S484,Settings!$B$4)-B484)</f>
        <v/>
      </c>
      <c r="Z484" s="41">
        <f>IF(B484="","",IF(S484&lt;&gt;"",IF(S484&gt;R484,"Closed late","Closed on time"),IF(Settings!$B$4&gt;R484,"Open: overdue","Open")))</f>
        <v/>
      </c>
      <c r="AA484" s="41">
        <f>IF(B484="","",IF(NETWORKDAYS(B484,C484)-1&gt;Settings!$B$5,"Logged late",IF(AND(L484="Escalated",M484=""),"Escalate to Compliance",IF(AND(L484="Escalated",N484=""),"Notify Sponsor Bank",IF(AND(L484="Escalated",N484&lt;&gt;"",NETWORKDAYS(B484,N484)-1&gt;Settings!$B$10),"Sponsor Bank notified late",IF(AND(K484&lt;&gt;"",K484&lt;&gt;"None",Q484=""),"Enter the legal deadline",IF(AND(S484&lt;&gt;"",OR(T484="",V484="")),"Record outcome and root cause",IF(AND(P484="",S484="",Settings!$B$4&gt;O484),"Acknowledgment overdue",""))))))))</f>
        <v/>
      </c>
    </row>
    <row r="485" ht="15.75" customHeight="1" s="31">
      <c r="A485" s="44" t="n"/>
      <c r="B485" s="45" t="n"/>
      <c r="C485" s="45" t="n"/>
      <c r="D485" s="44" t="n"/>
      <c r="E485" s="44" t="n"/>
      <c r="F485" s="44" t="n"/>
      <c r="G485" s="44" t="n"/>
      <c r="H485" s="44" t="n"/>
      <c r="I485" s="44" t="n"/>
      <c r="J485" s="44" t="n"/>
      <c r="K485" s="44" t="n"/>
      <c r="L485" s="41">
        <f>IF(B485="","",IF(OR(COUNTIF(Settings!$E$4:$E$9,D485)&gt;0,I485="Yes",J485="Yes",K485="Fair lending allegation"),"Escalated","Standard"))</f>
        <v/>
      </c>
      <c r="M485" s="45" t="n"/>
      <c r="N485" s="45" t="n"/>
      <c r="O485" s="42">
        <f>IF(B485="","",WORKDAY(B485,Settings!$B$7))</f>
        <v/>
      </c>
      <c r="P485" s="45" t="n"/>
      <c r="Q485" s="45" t="n"/>
      <c r="R485" s="42">
        <f>IF(B485="","",IF(Q485&lt;&gt;"",MIN(Q485,IF(L485="Escalated",B485+Settings!$B$9,WORKDAY(B485,Settings!$B$8))),IF(L485="Escalated",B485+Settings!$B$9,WORKDAY(B485,Settings!$B$8))))</f>
        <v/>
      </c>
      <c r="S485" s="45" t="n"/>
      <c r="T485" s="44" t="n"/>
      <c r="U485" s="46" t="n"/>
      <c r="V485" s="44" t="n"/>
      <c r="W485" s="44" t="n"/>
      <c r="X485" s="44" t="n"/>
      <c r="Y485" s="41">
        <f>IF(B485="","",IF(S485&lt;&gt;"",S485,Settings!$B$4)-B485)</f>
        <v/>
      </c>
      <c r="Z485" s="41">
        <f>IF(B485="","",IF(S485&lt;&gt;"",IF(S485&gt;R485,"Closed late","Closed on time"),IF(Settings!$B$4&gt;R485,"Open: overdue","Open")))</f>
        <v/>
      </c>
      <c r="AA485" s="41">
        <f>IF(B485="","",IF(NETWORKDAYS(B485,C485)-1&gt;Settings!$B$5,"Logged late",IF(AND(L485="Escalated",M485=""),"Escalate to Compliance",IF(AND(L485="Escalated",N485=""),"Notify Sponsor Bank",IF(AND(L485="Escalated",N485&lt;&gt;"",NETWORKDAYS(B485,N485)-1&gt;Settings!$B$10),"Sponsor Bank notified late",IF(AND(K485&lt;&gt;"",K485&lt;&gt;"None",Q485=""),"Enter the legal deadline",IF(AND(S485&lt;&gt;"",OR(T485="",V485="")),"Record outcome and root cause",IF(AND(P485="",S485="",Settings!$B$4&gt;O485),"Acknowledgment overdue",""))))))))</f>
        <v/>
      </c>
    </row>
    <row r="486" ht="15.75" customHeight="1" s="31">
      <c r="A486" s="44" t="n"/>
      <c r="B486" s="45" t="n"/>
      <c r="C486" s="45" t="n"/>
      <c r="D486" s="44" t="n"/>
      <c r="E486" s="44" t="n"/>
      <c r="F486" s="44" t="n"/>
      <c r="G486" s="44" t="n"/>
      <c r="H486" s="44" t="n"/>
      <c r="I486" s="44" t="n"/>
      <c r="J486" s="44" t="n"/>
      <c r="K486" s="44" t="n"/>
      <c r="L486" s="41">
        <f>IF(B486="","",IF(OR(COUNTIF(Settings!$E$4:$E$9,D486)&gt;0,I486="Yes",J486="Yes",K486="Fair lending allegation"),"Escalated","Standard"))</f>
        <v/>
      </c>
      <c r="M486" s="45" t="n"/>
      <c r="N486" s="45" t="n"/>
      <c r="O486" s="42">
        <f>IF(B486="","",WORKDAY(B486,Settings!$B$7))</f>
        <v/>
      </c>
      <c r="P486" s="45" t="n"/>
      <c r="Q486" s="45" t="n"/>
      <c r="R486" s="42">
        <f>IF(B486="","",IF(Q486&lt;&gt;"",MIN(Q486,IF(L486="Escalated",B486+Settings!$B$9,WORKDAY(B486,Settings!$B$8))),IF(L486="Escalated",B486+Settings!$B$9,WORKDAY(B486,Settings!$B$8))))</f>
        <v/>
      </c>
      <c r="S486" s="45" t="n"/>
      <c r="T486" s="44" t="n"/>
      <c r="U486" s="46" t="n"/>
      <c r="V486" s="44" t="n"/>
      <c r="W486" s="44" t="n"/>
      <c r="X486" s="44" t="n"/>
      <c r="Y486" s="41">
        <f>IF(B486="","",IF(S486&lt;&gt;"",S486,Settings!$B$4)-B486)</f>
        <v/>
      </c>
      <c r="Z486" s="41">
        <f>IF(B486="","",IF(S486&lt;&gt;"",IF(S486&gt;R486,"Closed late","Closed on time"),IF(Settings!$B$4&gt;R486,"Open: overdue","Open")))</f>
        <v/>
      </c>
      <c r="AA486" s="41">
        <f>IF(B486="","",IF(NETWORKDAYS(B486,C486)-1&gt;Settings!$B$5,"Logged late",IF(AND(L486="Escalated",M486=""),"Escalate to Compliance",IF(AND(L486="Escalated",N486=""),"Notify Sponsor Bank",IF(AND(L486="Escalated",N486&lt;&gt;"",NETWORKDAYS(B486,N486)-1&gt;Settings!$B$10),"Sponsor Bank notified late",IF(AND(K486&lt;&gt;"",K486&lt;&gt;"None",Q486=""),"Enter the legal deadline",IF(AND(S486&lt;&gt;"",OR(T486="",V486="")),"Record outcome and root cause",IF(AND(P486="",S486="",Settings!$B$4&gt;O486),"Acknowledgment overdue",""))))))))</f>
        <v/>
      </c>
    </row>
    <row r="487" ht="15.75" customHeight="1" s="31">
      <c r="A487" s="44" t="n"/>
      <c r="B487" s="45" t="n"/>
      <c r="C487" s="45" t="n"/>
      <c r="D487" s="44" t="n"/>
      <c r="E487" s="44" t="n"/>
      <c r="F487" s="44" t="n"/>
      <c r="G487" s="44" t="n"/>
      <c r="H487" s="44" t="n"/>
      <c r="I487" s="44" t="n"/>
      <c r="J487" s="44" t="n"/>
      <c r="K487" s="44" t="n"/>
      <c r="L487" s="41">
        <f>IF(B487="","",IF(OR(COUNTIF(Settings!$E$4:$E$9,D487)&gt;0,I487="Yes",J487="Yes",K487="Fair lending allegation"),"Escalated","Standard"))</f>
        <v/>
      </c>
      <c r="M487" s="45" t="n"/>
      <c r="N487" s="45" t="n"/>
      <c r="O487" s="42">
        <f>IF(B487="","",WORKDAY(B487,Settings!$B$7))</f>
        <v/>
      </c>
      <c r="P487" s="45" t="n"/>
      <c r="Q487" s="45" t="n"/>
      <c r="R487" s="42">
        <f>IF(B487="","",IF(Q487&lt;&gt;"",MIN(Q487,IF(L487="Escalated",B487+Settings!$B$9,WORKDAY(B487,Settings!$B$8))),IF(L487="Escalated",B487+Settings!$B$9,WORKDAY(B487,Settings!$B$8))))</f>
        <v/>
      </c>
      <c r="S487" s="45" t="n"/>
      <c r="T487" s="44" t="n"/>
      <c r="U487" s="46" t="n"/>
      <c r="V487" s="44" t="n"/>
      <c r="W487" s="44" t="n"/>
      <c r="X487" s="44" t="n"/>
      <c r="Y487" s="41">
        <f>IF(B487="","",IF(S487&lt;&gt;"",S487,Settings!$B$4)-B487)</f>
        <v/>
      </c>
      <c r="Z487" s="41">
        <f>IF(B487="","",IF(S487&lt;&gt;"",IF(S487&gt;R487,"Closed late","Closed on time"),IF(Settings!$B$4&gt;R487,"Open: overdue","Open")))</f>
        <v/>
      </c>
      <c r="AA487" s="41">
        <f>IF(B487="","",IF(NETWORKDAYS(B487,C487)-1&gt;Settings!$B$5,"Logged late",IF(AND(L487="Escalated",M487=""),"Escalate to Compliance",IF(AND(L487="Escalated",N487=""),"Notify Sponsor Bank",IF(AND(L487="Escalated",N487&lt;&gt;"",NETWORKDAYS(B487,N487)-1&gt;Settings!$B$10),"Sponsor Bank notified late",IF(AND(K487&lt;&gt;"",K487&lt;&gt;"None",Q487=""),"Enter the legal deadline",IF(AND(S487&lt;&gt;"",OR(T487="",V487="")),"Record outcome and root cause",IF(AND(P487="",S487="",Settings!$B$4&gt;O487),"Acknowledgment overdue",""))))))))</f>
        <v/>
      </c>
    </row>
    <row r="488" ht="15.75" customHeight="1" s="31">
      <c r="A488" s="44" t="n"/>
      <c r="B488" s="45" t="n"/>
      <c r="C488" s="45" t="n"/>
      <c r="D488" s="44" t="n"/>
      <c r="E488" s="44" t="n"/>
      <c r="F488" s="44" t="n"/>
      <c r="G488" s="44" t="n"/>
      <c r="H488" s="44" t="n"/>
      <c r="I488" s="44" t="n"/>
      <c r="J488" s="44" t="n"/>
      <c r="K488" s="44" t="n"/>
      <c r="L488" s="41">
        <f>IF(B488="","",IF(OR(COUNTIF(Settings!$E$4:$E$9,D488)&gt;0,I488="Yes",J488="Yes",K488="Fair lending allegation"),"Escalated","Standard"))</f>
        <v/>
      </c>
      <c r="M488" s="45" t="n"/>
      <c r="N488" s="45" t="n"/>
      <c r="O488" s="42">
        <f>IF(B488="","",WORKDAY(B488,Settings!$B$7))</f>
        <v/>
      </c>
      <c r="P488" s="45" t="n"/>
      <c r="Q488" s="45" t="n"/>
      <c r="R488" s="42">
        <f>IF(B488="","",IF(Q488&lt;&gt;"",MIN(Q488,IF(L488="Escalated",B488+Settings!$B$9,WORKDAY(B488,Settings!$B$8))),IF(L488="Escalated",B488+Settings!$B$9,WORKDAY(B488,Settings!$B$8))))</f>
        <v/>
      </c>
      <c r="S488" s="45" t="n"/>
      <c r="T488" s="44" t="n"/>
      <c r="U488" s="46" t="n"/>
      <c r="V488" s="44" t="n"/>
      <c r="W488" s="44" t="n"/>
      <c r="X488" s="44" t="n"/>
      <c r="Y488" s="41">
        <f>IF(B488="","",IF(S488&lt;&gt;"",S488,Settings!$B$4)-B488)</f>
        <v/>
      </c>
      <c r="Z488" s="41">
        <f>IF(B488="","",IF(S488&lt;&gt;"",IF(S488&gt;R488,"Closed late","Closed on time"),IF(Settings!$B$4&gt;R488,"Open: overdue","Open")))</f>
        <v/>
      </c>
      <c r="AA488" s="41">
        <f>IF(B488="","",IF(NETWORKDAYS(B488,C488)-1&gt;Settings!$B$5,"Logged late",IF(AND(L488="Escalated",M488=""),"Escalate to Compliance",IF(AND(L488="Escalated",N488=""),"Notify Sponsor Bank",IF(AND(L488="Escalated",N488&lt;&gt;"",NETWORKDAYS(B488,N488)-1&gt;Settings!$B$10),"Sponsor Bank notified late",IF(AND(K488&lt;&gt;"",K488&lt;&gt;"None",Q488=""),"Enter the legal deadline",IF(AND(S488&lt;&gt;"",OR(T488="",V488="")),"Record outcome and root cause",IF(AND(P488="",S488="",Settings!$B$4&gt;O488),"Acknowledgment overdue",""))))))))</f>
        <v/>
      </c>
    </row>
    <row r="489" ht="15.75" customHeight="1" s="31">
      <c r="A489" s="44" t="n"/>
      <c r="B489" s="45" t="n"/>
      <c r="C489" s="45" t="n"/>
      <c r="D489" s="44" t="n"/>
      <c r="E489" s="44" t="n"/>
      <c r="F489" s="44" t="n"/>
      <c r="G489" s="44" t="n"/>
      <c r="H489" s="44" t="n"/>
      <c r="I489" s="44" t="n"/>
      <c r="J489" s="44" t="n"/>
      <c r="K489" s="44" t="n"/>
      <c r="L489" s="41">
        <f>IF(B489="","",IF(OR(COUNTIF(Settings!$E$4:$E$9,D489)&gt;0,I489="Yes",J489="Yes",K489="Fair lending allegation"),"Escalated","Standard"))</f>
        <v/>
      </c>
      <c r="M489" s="45" t="n"/>
      <c r="N489" s="45" t="n"/>
      <c r="O489" s="42">
        <f>IF(B489="","",WORKDAY(B489,Settings!$B$7))</f>
        <v/>
      </c>
      <c r="P489" s="45" t="n"/>
      <c r="Q489" s="45" t="n"/>
      <c r="R489" s="42">
        <f>IF(B489="","",IF(Q489&lt;&gt;"",MIN(Q489,IF(L489="Escalated",B489+Settings!$B$9,WORKDAY(B489,Settings!$B$8))),IF(L489="Escalated",B489+Settings!$B$9,WORKDAY(B489,Settings!$B$8))))</f>
        <v/>
      </c>
      <c r="S489" s="45" t="n"/>
      <c r="T489" s="44" t="n"/>
      <c r="U489" s="46" t="n"/>
      <c r="V489" s="44" t="n"/>
      <c r="W489" s="44" t="n"/>
      <c r="X489" s="44" t="n"/>
      <c r="Y489" s="41">
        <f>IF(B489="","",IF(S489&lt;&gt;"",S489,Settings!$B$4)-B489)</f>
        <v/>
      </c>
      <c r="Z489" s="41">
        <f>IF(B489="","",IF(S489&lt;&gt;"",IF(S489&gt;R489,"Closed late","Closed on time"),IF(Settings!$B$4&gt;R489,"Open: overdue","Open")))</f>
        <v/>
      </c>
      <c r="AA489" s="41">
        <f>IF(B489="","",IF(NETWORKDAYS(B489,C489)-1&gt;Settings!$B$5,"Logged late",IF(AND(L489="Escalated",M489=""),"Escalate to Compliance",IF(AND(L489="Escalated",N489=""),"Notify Sponsor Bank",IF(AND(L489="Escalated",N489&lt;&gt;"",NETWORKDAYS(B489,N489)-1&gt;Settings!$B$10),"Sponsor Bank notified late",IF(AND(K489&lt;&gt;"",K489&lt;&gt;"None",Q489=""),"Enter the legal deadline",IF(AND(S489&lt;&gt;"",OR(T489="",V489="")),"Record outcome and root cause",IF(AND(P489="",S489="",Settings!$B$4&gt;O489),"Acknowledgment overdue",""))))))))</f>
        <v/>
      </c>
    </row>
    <row r="490" ht="15.75" customHeight="1" s="31">
      <c r="A490" s="44" t="n"/>
      <c r="B490" s="45" t="n"/>
      <c r="C490" s="45" t="n"/>
      <c r="D490" s="44" t="n"/>
      <c r="E490" s="44" t="n"/>
      <c r="F490" s="44" t="n"/>
      <c r="G490" s="44" t="n"/>
      <c r="H490" s="44" t="n"/>
      <c r="I490" s="44" t="n"/>
      <c r="J490" s="44" t="n"/>
      <c r="K490" s="44" t="n"/>
      <c r="L490" s="41">
        <f>IF(B490="","",IF(OR(COUNTIF(Settings!$E$4:$E$9,D490)&gt;0,I490="Yes",J490="Yes",K490="Fair lending allegation"),"Escalated","Standard"))</f>
        <v/>
      </c>
      <c r="M490" s="45" t="n"/>
      <c r="N490" s="45" t="n"/>
      <c r="O490" s="42">
        <f>IF(B490="","",WORKDAY(B490,Settings!$B$7))</f>
        <v/>
      </c>
      <c r="P490" s="45" t="n"/>
      <c r="Q490" s="45" t="n"/>
      <c r="R490" s="42">
        <f>IF(B490="","",IF(Q490&lt;&gt;"",MIN(Q490,IF(L490="Escalated",B490+Settings!$B$9,WORKDAY(B490,Settings!$B$8))),IF(L490="Escalated",B490+Settings!$B$9,WORKDAY(B490,Settings!$B$8))))</f>
        <v/>
      </c>
      <c r="S490" s="45" t="n"/>
      <c r="T490" s="44" t="n"/>
      <c r="U490" s="46" t="n"/>
      <c r="V490" s="44" t="n"/>
      <c r="W490" s="44" t="n"/>
      <c r="X490" s="44" t="n"/>
      <c r="Y490" s="41">
        <f>IF(B490="","",IF(S490&lt;&gt;"",S490,Settings!$B$4)-B490)</f>
        <v/>
      </c>
      <c r="Z490" s="41">
        <f>IF(B490="","",IF(S490&lt;&gt;"",IF(S490&gt;R490,"Closed late","Closed on time"),IF(Settings!$B$4&gt;R490,"Open: overdue","Open")))</f>
        <v/>
      </c>
      <c r="AA490" s="41">
        <f>IF(B490="","",IF(NETWORKDAYS(B490,C490)-1&gt;Settings!$B$5,"Logged late",IF(AND(L490="Escalated",M490=""),"Escalate to Compliance",IF(AND(L490="Escalated",N490=""),"Notify Sponsor Bank",IF(AND(L490="Escalated",N490&lt;&gt;"",NETWORKDAYS(B490,N490)-1&gt;Settings!$B$10),"Sponsor Bank notified late",IF(AND(K490&lt;&gt;"",K490&lt;&gt;"None",Q490=""),"Enter the legal deadline",IF(AND(S490&lt;&gt;"",OR(T490="",V490="")),"Record outcome and root cause",IF(AND(P490="",S490="",Settings!$B$4&gt;O490),"Acknowledgment overdue",""))))))))</f>
        <v/>
      </c>
    </row>
    <row r="491" ht="15.75" customHeight="1" s="31">
      <c r="A491" s="44" t="n"/>
      <c r="B491" s="45" t="n"/>
      <c r="C491" s="45" t="n"/>
      <c r="D491" s="44" t="n"/>
      <c r="E491" s="44" t="n"/>
      <c r="F491" s="44" t="n"/>
      <c r="G491" s="44" t="n"/>
      <c r="H491" s="44" t="n"/>
      <c r="I491" s="44" t="n"/>
      <c r="J491" s="44" t="n"/>
      <c r="K491" s="44" t="n"/>
      <c r="L491" s="41">
        <f>IF(B491="","",IF(OR(COUNTIF(Settings!$E$4:$E$9,D491)&gt;0,I491="Yes",J491="Yes",K491="Fair lending allegation"),"Escalated","Standard"))</f>
        <v/>
      </c>
      <c r="M491" s="45" t="n"/>
      <c r="N491" s="45" t="n"/>
      <c r="O491" s="42">
        <f>IF(B491="","",WORKDAY(B491,Settings!$B$7))</f>
        <v/>
      </c>
      <c r="P491" s="45" t="n"/>
      <c r="Q491" s="45" t="n"/>
      <c r="R491" s="42">
        <f>IF(B491="","",IF(Q491&lt;&gt;"",MIN(Q491,IF(L491="Escalated",B491+Settings!$B$9,WORKDAY(B491,Settings!$B$8))),IF(L491="Escalated",B491+Settings!$B$9,WORKDAY(B491,Settings!$B$8))))</f>
        <v/>
      </c>
      <c r="S491" s="45" t="n"/>
      <c r="T491" s="44" t="n"/>
      <c r="U491" s="46" t="n"/>
      <c r="V491" s="44" t="n"/>
      <c r="W491" s="44" t="n"/>
      <c r="X491" s="44" t="n"/>
      <c r="Y491" s="41">
        <f>IF(B491="","",IF(S491&lt;&gt;"",S491,Settings!$B$4)-B491)</f>
        <v/>
      </c>
      <c r="Z491" s="41">
        <f>IF(B491="","",IF(S491&lt;&gt;"",IF(S491&gt;R491,"Closed late","Closed on time"),IF(Settings!$B$4&gt;R491,"Open: overdue","Open")))</f>
        <v/>
      </c>
      <c r="AA491" s="41">
        <f>IF(B491="","",IF(NETWORKDAYS(B491,C491)-1&gt;Settings!$B$5,"Logged late",IF(AND(L491="Escalated",M491=""),"Escalate to Compliance",IF(AND(L491="Escalated",N491=""),"Notify Sponsor Bank",IF(AND(L491="Escalated",N491&lt;&gt;"",NETWORKDAYS(B491,N491)-1&gt;Settings!$B$10),"Sponsor Bank notified late",IF(AND(K491&lt;&gt;"",K491&lt;&gt;"None",Q491=""),"Enter the legal deadline",IF(AND(S491&lt;&gt;"",OR(T491="",V491="")),"Record outcome and root cause",IF(AND(P491="",S491="",Settings!$B$4&gt;O491),"Acknowledgment overdue",""))))))))</f>
        <v/>
      </c>
    </row>
    <row r="492" ht="15.75" customHeight="1" s="31">
      <c r="A492" s="44" t="n"/>
      <c r="B492" s="45" t="n"/>
      <c r="C492" s="45" t="n"/>
      <c r="D492" s="44" t="n"/>
      <c r="E492" s="44" t="n"/>
      <c r="F492" s="44" t="n"/>
      <c r="G492" s="44" t="n"/>
      <c r="H492" s="44" t="n"/>
      <c r="I492" s="44" t="n"/>
      <c r="J492" s="44" t="n"/>
      <c r="K492" s="44" t="n"/>
      <c r="L492" s="41">
        <f>IF(B492="","",IF(OR(COUNTIF(Settings!$E$4:$E$9,D492)&gt;0,I492="Yes",J492="Yes",K492="Fair lending allegation"),"Escalated","Standard"))</f>
        <v/>
      </c>
      <c r="M492" s="45" t="n"/>
      <c r="N492" s="45" t="n"/>
      <c r="O492" s="42">
        <f>IF(B492="","",WORKDAY(B492,Settings!$B$7))</f>
        <v/>
      </c>
      <c r="P492" s="45" t="n"/>
      <c r="Q492" s="45" t="n"/>
      <c r="R492" s="42">
        <f>IF(B492="","",IF(Q492&lt;&gt;"",MIN(Q492,IF(L492="Escalated",B492+Settings!$B$9,WORKDAY(B492,Settings!$B$8))),IF(L492="Escalated",B492+Settings!$B$9,WORKDAY(B492,Settings!$B$8))))</f>
        <v/>
      </c>
      <c r="S492" s="45" t="n"/>
      <c r="T492" s="44" t="n"/>
      <c r="U492" s="46" t="n"/>
      <c r="V492" s="44" t="n"/>
      <c r="W492" s="44" t="n"/>
      <c r="X492" s="44" t="n"/>
      <c r="Y492" s="41">
        <f>IF(B492="","",IF(S492&lt;&gt;"",S492,Settings!$B$4)-B492)</f>
        <v/>
      </c>
      <c r="Z492" s="41">
        <f>IF(B492="","",IF(S492&lt;&gt;"",IF(S492&gt;R492,"Closed late","Closed on time"),IF(Settings!$B$4&gt;R492,"Open: overdue","Open")))</f>
        <v/>
      </c>
      <c r="AA492" s="41">
        <f>IF(B492="","",IF(NETWORKDAYS(B492,C492)-1&gt;Settings!$B$5,"Logged late",IF(AND(L492="Escalated",M492=""),"Escalate to Compliance",IF(AND(L492="Escalated",N492=""),"Notify Sponsor Bank",IF(AND(L492="Escalated",N492&lt;&gt;"",NETWORKDAYS(B492,N492)-1&gt;Settings!$B$10),"Sponsor Bank notified late",IF(AND(K492&lt;&gt;"",K492&lt;&gt;"None",Q492=""),"Enter the legal deadline",IF(AND(S492&lt;&gt;"",OR(T492="",V492="")),"Record outcome and root cause",IF(AND(P492="",S492="",Settings!$B$4&gt;O492),"Acknowledgment overdue",""))))))))</f>
        <v/>
      </c>
    </row>
    <row r="493" ht="15.75" customHeight="1" s="31">
      <c r="A493" s="44" t="n"/>
      <c r="B493" s="45" t="n"/>
      <c r="C493" s="45" t="n"/>
      <c r="D493" s="44" t="n"/>
      <c r="E493" s="44" t="n"/>
      <c r="F493" s="44" t="n"/>
      <c r="G493" s="44" t="n"/>
      <c r="H493" s="44" t="n"/>
      <c r="I493" s="44" t="n"/>
      <c r="J493" s="44" t="n"/>
      <c r="K493" s="44" t="n"/>
      <c r="L493" s="41">
        <f>IF(B493="","",IF(OR(COUNTIF(Settings!$E$4:$E$9,D493)&gt;0,I493="Yes",J493="Yes",K493="Fair lending allegation"),"Escalated","Standard"))</f>
        <v/>
      </c>
      <c r="M493" s="45" t="n"/>
      <c r="N493" s="45" t="n"/>
      <c r="O493" s="42">
        <f>IF(B493="","",WORKDAY(B493,Settings!$B$7))</f>
        <v/>
      </c>
      <c r="P493" s="45" t="n"/>
      <c r="Q493" s="45" t="n"/>
      <c r="R493" s="42">
        <f>IF(B493="","",IF(Q493&lt;&gt;"",MIN(Q493,IF(L493="Escalated",B493+Settings!$B$9,WORKDAY(B493,Settings!$B$8))),IF(L493="Escalated",B493+Settings!$B$9,WORKDAY(B493,Settings!$B$8))))</f>
        <v/>
      </c>
      <c r="S493" s="45" t="n"/>
      <c r="T493" s="44" t="n"/>
      <c r="U493" s="46" t="n"/>
      <c r="V493" s="44" t="n"/>
      <c r="W493" s="44" t="n"/>
      <c r="X493" s="44" t="n"/>
      <c r="Y493" s="41">
        <f>IF(B493="","",IF(S493&lt;&gt;"",S493,Settings!$B$4)-B493)</f>
        <v/>
      </c>
      <c r="Z493" s="41">
        <f>IF(B493="","",IF(S493&lt;&gt;"",IF(S493&gt;R493,"Closed late","Closed on time"),IF(Settings!$B$4&gt;R493,"Open: overdue","Open")))</f>
        <v/>
      </c>
      <c r="AA493" s="41">
        <f>IF(B493="","",IF(NETWORKDAYS(B493,C493)-1&gt;Settings!$B$5,"Logged late",IF(AND(L493="Escalated",M493=""),"Escalate to Compliance",IF(AND(L493="Escalated",N493=""),"Notify Sponsor Bank",IF(AND(L493="Escalated",N493&lt;&gt;"",NETWORKDAYS(B493,N493)-1&gt;Settings!$B$10),"Sponsor Bank notified late",IF(AND(K493&lt;&gt;"",K493&lt;&gt;"None",Q493=""),"Enter the legal deadline",IF(AND(S493&lt;&gt;"",OR(T493="",V493="")),"Record outcome and root cause",IF(AND(P493="",S493="",Settings!$B$4&gt;O493),"Acknowledgment overdue",""))))))))</f>
        <v/>
      </c>
    </row>
    <row r="494" ht="15.75" customHeight="1" s="31">
      <c r="A494" s="44" t="n"/>
      <c r="B494" s="45" t="n"/>
      <c r="C494" s="45" t="n"/>
      <c r="D494" s="44" t="n"/>
      <c r="E494" s="44" t="n"/>
      <c r="F494" s="44" t="n"/>
      <c r="G494" s="44" t="n"/>
      <c r="H494" s="44" t="n"/>
      <c r="I494" s="44" t="n"/>
      <c r="J494" s="44" t="n"/>
      <c r="K494" s="44" t="n"/>
      <c r="L494" s="41">
        <f>IF(B494="","",IF(OR(COUNTIF(Settings!$E$4:$E$9,D494)&gt;0,I494="Yes",J494="Yes",K494="Fair lending allegation"),"Escalated","Standard"))</f>
        <v/>
      </c>
      <c r="M494" s="45" t="n"/>
      <c r="N494" s="45" t="n"/>
      <c r="O494" s="42">
        <f>IF(B494="","",WORKDAY(B494,Settings!$B$7))</f>
        <v/>
      </c>
      <c r="P494" s="45" t="n"/>
      <c r="Q494" s="45" t="n"/>
      <c r="R494" s="42">
        <f>IF(B494="","",IF(Q494&lt;&gt;"",MIN(Q494,IF(L494="Escalated",B494+Settings!$B$9,WORKDAY(B494,Settings!$B$8))),IF(L494="Escalated",B494+Settings!$B$9,WORKDAY(B494,Settings!$B$8))))</f>
        <v/>
      </c>
      <c r="S494" s="45" t="n"/>
      <c r="T494" s="44" t="n"/>
      <c r="U494" s="46" t="n"/>
      <c r="V494" s="44" t="n"/>
      <c r="W494" s="44" t="n"/>
      <c r="X494" s="44" t="n"/>
      <c r="Y494" s="41">
        <f>IF(B494="","",IF(S494&lt;&gt;"",S494,Settings!$B$4)-B494)</f>
        <v/>
      </c>
      <c r="Z494" s="41">
        <f>IF(B494="","",IF(S494&lt;&gt;"",IF(S494&gt;R494,"Closed late","Closed on time"),IF(Settings!$B$4&gt;R494,"Open: overdue","Open")))</f>
        <v/>
      </c>
      <c r="AA494" s="41">
        <f>IF(B494="","",IF(NETWORKDAYS(B494,C494)-1&gt;Settings!$B$5,"Logged late",IF(AND(L494="Escalated",M494=""),"Escalate to Compliance",IF(AND(L494="Escalated",N494=""),"Notify Sponsor Bank",IF(AND(L494="Escalated",N494&lt;&gt;"",NETWORKDAYS(B494,N494)-1&gt;Settings!$B$10),"Sponsor Bank notified late",IF(AND(K494&lt;&gt;"",K494&lt;&gt;"None",Q494=""),"Enter the legal deadline",IF(AND(S494&lt;&gt;"",OR(T494="",V494="")),"Record outcome and root cause",IF(AND(P494="",S494="",Settings!$B$4&gt;O494),"Acknowledgment overdue",""))))))))</f>
        <v/>
      </c>
    </row>
    <row r="495" ht="15.75" customHeight="1" s="31">
      <c r="A495" s="44" t="n"/>
      <c r="B495" s="45" t="n"/>
      <c r="C495" s="45" t="n"/>
      <c r="D495" s="44" t="n"/>
      <c r="E495" s="44" t="n"/>
      <c r="F495" s="44" t="n"/>
      <c r="G495" s="44" t="n"/>
      <c r="H495" s="44" t="n"/>
      <c r="I495" s="44" t="n"/>
      <c r="J495" s="44" t="n"/>
      <c r="K495" s="44" t="n"/>
      <c r="L495" s="41">
        <f>IF(B495="","",IF(OR(COUNTIF(Settings!$E$4:$E$9,D495)&gt;0,I495="Yes",J495="Yes",K495="Fair lending allegation"),"Escalated","Standard"))</f>
        <v/>
      </c>
      <c r="M495" s="45" t="n"/>
      <c r="N495" s="45" t="n"/>
      <c r="O495" s="42">
        <f>IF(B495="","",WORKDAY(B495,Settings!$B$7))</f>
        <v/>
      </c>
      <c r="P495" s="45" t="n"/>
      <c r="Q495" s="45" t="n"/>
      <c r="R495" s="42">
        <f>IF(B495="","",IF(Q495&lt;&gt;"",MIN(Q495,IF(L495="Escalated",B495+Settings!$B$9,WORKDAY(B495,Settings!$B$8))),IF(L495="Escalated",B495+Settings!$B$9,WORKDAY(B495,Settings!$B$8))))</f>
        <v/>
      </c>
      <c r="S495" s="45" t="n"/>
      <c r="T495" s="44" t="n"/>
      <c r="U495" s="46" t="n"/>
      <c r="V495" s="44" t="n"/>
      <c r="W495" s="44" t="n"/>
      <c r="X495" s="44" t="n"/>
      <c r="Y495" s="41">
        <f>IF(B495="","",IF(S495&lt;&gt;"",S495,Settings!$B$4)-B495)</f>
        <v/>
      </c>
      <c r="Z495" s="41">
        <f>IF(B495="","",IF(S495&lt;&gt;"",IF(S495&gt;R495,"Closed late","Closed on time"),IF(Settings!$B$4&gt;R495,"Open: overdue","Open")))</f>
        <v/>
      </c>
      <c r="AA495" s="41">
        <f>IF(B495="","",IF(NETWORKDAYS(B495,C495)-1&gt;Settings!$B$5,"Logged late",IF(AND(L495="Escalated",M495=""),"Escalate to Compliance",IF(AND(L495="Escalated",N495=""),"Notify Sponsor Bank",IF(AND(L495="Escalated",N495&lt;&gt;"",NETWORKDAYS(B495,N495)-1&gt;Settings!$B$10),"Sponsor Bank notified late",IF(AND(K495&lt;&gt;"",K495&lt;&gt;"None",Q495=""),"Enter the legal deadline",IF(AND(S495&lt;&gt;"",OR(T495="",V495="")),"Record outcome and root cause",IF(AND(P495="",S495="",Settings!$B$4&gt;O495),"Acknowledgment overdue",""))))))))</f>
        <v/>
      </c>
    </row>
    <row r="496" ht="15.75" customHeight="1" s="31">
      <c r="A496" s="44" t="n"/>
      <c r="B496" s="45" t="n"/>
      <c r="C496" s="45" t="n"/>
      <c r="D496" s="44" t="n"/>
      <c r="E496" s="44" t="n"/>
      <c r="F496" s="44" t="n"/>
      <c r="G496" s="44" t="n"/>
      <c r="H496" s="44" t="n"/>
      <c r="I496" s="44" t="n"/>
      <c r="J496" s="44" t="n"/>
      <c r="K496" s="44" t="n"/>
      <c r="L496" s="41">
        <f>IF(B496="","",IF(OR(COUNTIF(Settings!$E$4:$E$9,D496)&gt;0,I496="Yes",J496="Yes",K496="Fair lending allegation"),"Escalated","Standard"))</f>
        <v/>
      </c>
      <c r="M496" s="45" t="n"/>
      <c r="N496" s="45" t="n"/>
      <c r="O496" s="42">
        <f>IF(B496="","",WORKDAY(B496,Settings!$B$7))</f>
        <v/>
      </c>
      <c r="P496" s="45" t="n"/>
      <c r="Q496" s="45" t="n"/>
      <c r="R496" s="42">
        <f>IF(B496="","",IF(Q496&lt;&gt;"",MIN(Q496,IF(L496="Escalated",B496+Settings!$B$9,WORKDAY(B496,Settings!$B$8))),IF(L496="Escalated",B496+Settings!$B$9,WORKDAY(B496,Settings!$B$8))))</f>
        <v/>
      </c>
      <c r="S496" s="45" t="n"/>
      <c r="T496" s="44" t="n"/>
      <c r="U496" s="46" t="n"/>
      <c r="V496" s="44" t="n"/>
      <c r="W496" s="44" t="n"/>
      <c r="X496" s="44" t="n"/>
      <c r="Y496" s="41">
        <f>IF(B496="","",IF(S496&lt;&gt;"",S496,Settings!$B$4)-B496)</f>
        <v/>
      </c>
      <c r="Z496" s="41">
        <f>IF(B496="","",IF(S496&lt;&gt;"",IF(S496&gt;R496,"Closed late","Closed on time"),IF(Settings!$B$4&gt;R496,"Open: overdue","Open")))</f>
        <v/>
      </c>
      <c r="AA496" s="41">
        <f>IF(B496="","",IF(NETWORKDAYS(B496,C496)-1&gt;Settings!$B$5,"Logged late",IF(AND(L496="Escalated",M496=""),"Escalate to Compliance",IF(AND(L496="Escalated",N496=""),"Notify Sponsor Bank",IF(AND(L496="Escalated",N496&lt;&gt;"",NETWORKDAYS(B496,N496)-1&gt;Settings!$B$10),"Sponsor Bank notified late",IF(AND(K496&lt;&gt;"",K496&lt;&gt;"None",Q496=""),"Enter the legal deadline",IF(AND(S496&lt;&gt;"",OR(T496="",V496="")),"Record outcome and root cause",IF(AND(P496="",S496="",Settings!$B$4&gt;O496),"Acknowledgment overdue",""))))))))</f>
        <v/>
      </c>
    </row>
    <row r="497" ht="15.75" customHeight="1" s="31">
      <c r="A497" s="44" t="n"/>
      <c r="B497" s="45" t="n"/>
      <c r="C497" s="45" t="n"/>
      <c r="D497" s="44" t="n"/>
      <c r="E497" s="44" t="n"/>
      <c r="F497" s="44" t="n"/>
      <c r="G497" s="44" t="n"/>
      <c r="H497" s="44" t="n"/>
      <c r="I497" s="44" t="n"/>
      <c r="J497" s="44" t="n"/>
      <c r="K497" s="44" t="n"/>
      <c r="L497" s="41">
        <f>IF(B497="","",IF(OR(COUNTIF(Settings!$E$4:$E$9,D497)&gt;0,I497="Yes",J497="Yes",K497="Fair lending allegation"),"Escalated","Standard"))</f>
        <v/>
      </c>
      <c r="M497" s="45" t="n"/>
      <c r="N497" s="45" t="n"/>
      <c r="O497" s="42">
        <f>IF(B497="","",WORKDAY(B497,Settings!$B$7))</f>
        <v/>
      </c>
      <c r="P497" s="45" t="n"/>
      <c r="Q497" s="45" t="n"/>
      <c r="R497" s="42">
        <f>IF(B497="","",IF(Q497&lt;&gt;"",MIN(Q497,IF(L497="Escalated",B497+Settings!$B$9,WORKDAY(B497,Settings!$B$8))),IF(L497="Escalated",B497+Settings!$B$9,WORKDAY(B497,Settings!$B$8))))</f>
        <v/>
      </c>
      <c r="S497" s="45" t="n"/>
      <c r="T497" s="44" t="n"/>
      <c r="U497" s="46" t="n"/>
      <c r="V497" s="44" t="n"/>
      <c r="W497" s="44" t="n"/>
      <c r="X497" s="44" t="n"/>
      <c r="Y497" s="41">
        <f>IF(B497="","",IF(S497&lt;&gt;"",S497,Settings!$B$4)-B497)</f>
        <v/>
      </c>
      <c r="Z497" s="41">
        <f>IF(B497="","",IF(S497&lt;&gt;"",IF(S497&gt;R497,"Closed late","Closed on time"),IF(Settings!$B$4&gt;R497,"Open: overdue","Open")))</f>
        <v/>
      </c>
      <c r="AA497" s="41">
        <f>IF(B497="","",IF(NETWORKDAYS(B497,C497)-1&gt;Settings!$B$5,"Logged late",IF(AND(L497="Escalated",M497=""),"Escalate to Compliance",IF(AND(L497="Escalated",N497=""),"Notify Sponsor Bank",IF(AND(L497="Escalated",N497&lt;&gt;"",NETWORKDAYS(B497,N497)-1&gt;Settings!$B$10),"Sponsor Bank notified late",IF(AND(K497&lt;&gt;"",K497&lt;&gt;"None",Q497=""),"Enter the legal deadline",IF(AND(S497&lt;&gt;"",OR(T497="",V497="")),"Record outcome and root cause",IF(AND(P497="",S497="",Settings!$B$4&gt;O497),"Acknowledgment overdue",""))))))))</f>
        <v/>
      </c>
    </row>
    <row r="498" ht="15.75" customHeight="1" s="31">
      <c r="A498" s="44" t="n"/>
      <c r="B498" s="45" t="n"/>
      <c r="C498" s="45" t="n"/>
      <c r="D498" s="44" t="n"/>
      <c r="E498" s="44" t="n"/>
      <c r="F498" s="44" t="n"/>
      <c r="G498" s="44" t="n"/>
      <c r="H498" s="44" t="n"/>
      <c r="I498" s="44" t="n"/>
      <c r="J498" s="44" t="n"/>
      <c r="K498" s="44" t="n"/>
      <c r="L498" s="41">
        <f>IF(B498="","",IF(OR(COUNTIF(Settings!$E$4:$E$9,D498)&gt;0,I498="Yes",J498="Yes",K498="Fair lending allegation"),"Escalated","Standard"))</f>
        <v/>
      </c>
      <c r="M498" s="45" t="n"/>
      <c r="N498" s="45" t="n"/>
      <c r="O498" s="42">
        <f>IF(B498="","",WORKDAY(B498,Settings!$B$7))</f>
        <v/>
      </c>
      <c r="P498" s="45" t="n"/>
      <c r="Q498" s="45" t="n"/>
      <c r="R498" s="42">
        <f>IF(B498="","",IF(Q498&lt;&gt;"",MIN(Q498,IF(L498="Escalated",B498+Settings!$B$9,WORKDAY(B498,Settings!$B$8))),IF(L498="Escalated",B498+Settings!$B$9,WORKDAY(B498,Settings!$B$8))))</f>
        <v/>
      </c>
      <c r="S498" s="45" t="n"/>
      <c r="T498" s="44" t="n"/>
      <c r="U498" s="46" t="n"/>
      <c r="V498" s="44" t="n"/>
      <c r="W498" s="44" t="n"/>
      <c r="X498" s="44" t="n"/>
      <c r="Y498" s="41">
        <f>IF(B498="","",IF(S498&lt;&gt;"",S498,Settings!$B$4)-B498)</f>
        <v/>
      </c>
      <c r="Z498" s="41">
        <f>IF(B498="","",IF(S498&lt;&gt;"",IF(S498&gt;R498,"Closed late","Closed on time"),IF(Settings!$B$4&gt;R498,"Open: overdue","Open")))</f>
        <v/>
      </c>
      <c r="AA498" s="41">
        <f>IF(B498="","",IF(NETWORKDAYS(B498,C498)-1&gt;Settings!$B$5,"Logged late",IF(AND(L498="Escalated",M498=""),"Escalate to Compliance",IF(AND(L498="Escalated",N498=""),"Notify Sponsor Bank",IF(AND(L498="Escalated",N498&lt;&gt;"",NETWORKDAYS(B498,N498)-1&gt;Settings!$B$10),"Sponsor Bank notified late",IF(AND(K498&lt;&gt;"",K498&lt;&gt;"None",Q498=""),"Enter the legal deadline",IF(AND(S498&lt;&gt;"",OR(T498="",V498="")),"Record outcome and root cause",IF(AND(P498="",S498="",Settings!$B$4&gt;O498),"Acknowledgment overdue",""))))))))</f>
        <v/>
      </c>
    </row>
    <row r="499" ht="15.75" customHeight="1" s="31">
      <c r="A499" s="44" t="n"/>
      <c r="B499" s="45" t="n"/>
      <c r="C499" s="45" t="n"/>
      <c r="D499" s="44" t="n"/>
      <c r="E499" s="44" t="n"/>
      <c r="F499" s="44" t="n"/>
      <c r="G499" s="44" t="n"/>
      <c r="H499" s="44" t="n"/>
      <c r="I499" s="44" t="n"/>
      <c r="J499" s="44" t="n"/>
      <c r="K499" s="44" t="n"/>
      <c r="L499" s="41">
        <f>IF(B499="","",IF(OR(COUNTIF(Settings!$E$4:$E$9,D499)&gt;0,I499="Yes",J499="Yes",K499="Fair lending allegation"),"Escalated","Standard"))</f>
        <v/>
      </c>
      <c r="M499" s="45" t="n"/>
      <c r="N499" s="45" t="n"/>
      <c r="O499" s="42">
        <f>IF(B499="","",WORKDAY(B499,Settings!$B$7))</f>
        <v/>
      </c>
      <c r="P499" s="45" t="n"/>
      <c r="Q499" s="45" t="n"/>
      <c r="R499" s="42">
        <f>IF(B499="","",IF(Q499&lt;&gt;"",MIN(Q499,IF(L499="Escalated",B499+Settings!$B$9,WORKDAY(B499,Settings!$B$8))),IF(L499="Escalated",B499+Settings!$B$9,WORKDAY(B499,Settings!$B$8))))</f>
        <v/>
      </c>
      <c r="S499" s="45" t="n"/>
      <c r="T499" s="44" t="n"/>
      <c r="U499" s="46" t="n"/>
      <c r="V499" s="44" t="n"/>
      <c r="W499" s="44" t="n"/>
      <c r="X499" s="44" t="n"/>
      <c r="Y499" s="41">
        <f>IF(B499="","",IF(S499&lt;&gt;"",S499,Settings!$B$4)-B499)</f>
        <v/>
      </c>
      <c r="Z499" s="41">
        <f>IF(B499="","",IF(S499&lt;&gt;"",IF(S499&gt;R499,"Closed late","Closed on time"),IF(Settings!$B$4&gt;R499,"Open: overdue","Open")))</f>
        <v/>
      </c>
      <c r="AA499" s="41">
        <f>IF(B499="","",IF(NETWORKDAYS(B499,C499)-1&gt;Settings!$B$5,"Logged late",IF(AND(L499="Escalated",M499=""),"Escalate to Compliance",IF(AND(L499="Escalated",N499=""),"Notify Sponsor Bank",IF(AND(L499="Escalated",N499&lt;&gt;"",NETWORKDAYS(B499,N499)-1&gt;Settings!$B$10),"Sponsor Bank notified late",IF(AND(K499&lt;&gt;"",K499&lt;&gt;"None",Q499=""),"Enter the legal deadline",IF(AND(S499&lt;&gt;"",OR(T499="",V499="")),"Record outcome and root cause",IF(AND(P499="",S499="",Settings!$B$4&gt;O499),"Acknowledgment overdue",""))))))))</f>
        <v/>
      </c>
    </row>
    <row r="500" ht="15.75" customHeight="1" s="31">
      <c r="A500" s="44" t="n"/>
      <c r="B500" s="45" t="n"/>
      <c r="C500" s="45" t="n"/>
      <c r="D500" s="44" t="n"/>
      <c r="E500" s="44" t="n"/>
      <c r="F500" s="44" t="n"/>
      <c r="G500" s="44" t="n"/>
      <c r="H500" s="44" t="n"/>
      <c r="I500" s="44" t="n"/>
      <c r="J500" s="44" t="n"/>
      <c r="K500" s="44" t="n"/>
      <c r="L500" s="41">
        <f>IF(B500="","",IF(OR(COUNTIF(Settings!$E$4:$E$9,D500)&gt;0,I500="Yes",J500="Yes",K500="Fair lending allegation"),"Escalated","Standard"))</f>
        <v/>
      </c>
      <c r="M500" s="45" t="n"/>
      <c r="N500" s="45" t="n"/>
      <c r="O500" s="42">
        <f>IF(B500="","",WORKDAY(B500,Settings!$B$7))</f>
        <v/>
      </c>
      <c r="P500" s="45" t="n"/>
      <c r="Q500" s="45" t="n"/>
      <c r="R500" s="42">
        <f>IF(B500="","",IF(Q500&lt;&gt;"",MIN(Q500,IF(L500="Escalated",B500+Settings!$B$9,WORKDAY(B500,Settings!$B$8))),IF(L500="Escalated",B500+Settings!$B$9,WORKDAY(B500,Settings!$B$8))))</f>
        <v/>
      </c>
      <c r="S500" s="45" t="n"/>
      <c r="T500" s="44" t="n"/>
      <c r="U500" s="46" t="n"/>
      <c r="V500" s="44" t="n"/>
      <c r="W500" s="44" t="n"/>
      <c r="X500" s="44" t="n"/>
      <c r="Y500" s="41">
        <f>IF(B500="","",IF(S500&lt;&gt;"",S500,Settings!$B$4)-B500)</f>
        <v/>
      </c>
      <c r="Z500" s="41">
        <f>IF(B500="","",IF(S500&lt;&gt;"",IF(S500&gt;R500,"Closed late","Closed on time"),IF(Settings!$B$4&gt;R500,"Open: overdue","Open")))</f>
        <v/>
      </c>
      <c r="AA500" s="41">
        <f>IF(B500="","",IF(NETWORKDAYS(B500,C500)-1&gt;Settings!$B$5,"Logged late",IF(AND(L500="Escalated",M500=""),"Escalate to Compliance",IF(AND(L500="Escalated",N500=""),"Notify Sponsor Bank",IF(AND(L500="Escalated",N500&lt;&gt;"",NETWORKDAYS(B500,N500)-1&gt;Settings!$B$10),"Sponsor Bank notified late",IF(AND(K500&lt;&gt;"",K500&lt;&gt;"None",Q500=""),"Enter the legal deadline",IF(AND(S500&lt;&gt;"",OR(T500="",V500="")),"Record outcome and root cause",IF(AND(P500="",S500="",Settings!$B$4&gt;O500),"Acknowledgment overdue",""))))))))</f>
        <v/>
      </c>
    </row>
    <row r="501" ht="15.75" customHeight="1" s="31">
      <c r="A501" s="44" t="n"/>
      <c r="B501" s="45" t="n"/>
      <c r="C501" s="45" t="n"/>
      <c r="D501" s="44" t="n"/>
      <c r="E501" s="44" t="n"/>
      <c r="F501" s="44" t="n"/>
      <c r="G501" s="44" t="n"/>
      <c r="H501" s="44" t="n"/>
      <c r="I501" s="44" t="n"/>
      <c r="J501" s="44" t="n"/>
      <c r="K501" s="44" t="n"/>
      <c r="L501" s="41">
        <f>IF(B501="","",IF(OR(COUNTIF(Settings!$E$4:$E$9,D501)&gt;0,I501="Yes",J501="Yes",K501="Fair lending allegation"),"Escalated","Standard"))</f>
        <v/>
      </c>
      <c r="M501" s="45" t="n"/>
      <c r="N501" s="45" t="n"/>
      <c r="O501" s="42">
        <f>IF(B501="","",WORKDAY(B501,Settings!$B$7))</f>
        <v/>
      </c>
      <c r="P501" s="45" t="n"/>
      <c r="Q501" s="45" t="n"/>
      <c r="R501" s="42">
        <f>IF(B501="","",IF(Q501&lt;&gt;"",MIN(Q501,IF(L501="Escalated",B501+Settings!$B$9,WORKDAY(B501,Settings!$B$8))),IF(L501="Escalated",B501+Settings!$B$9,WORKDAY(B501,Settings!$B$8))))</f>
        <v/>
      </c>
      <c r="S501" s="45" t="n"/>
      <c r="T501" s="44" t="n"/>
      <c r="U501" s="46" t="n"/>
      <c r="V501" s="44" t="n"/>
      <c r="W501" s="44" t="n"/>
      <c r="X501" s="44" t="n"/>
      <c r="Y501" s="41">
        <f>IF(B501="","",IF(S501&lt;&gt;"",S501,Settings!$B$4)-B501)</f>
        <v/>
      </c>
      <c r="Z501" s="41">
        <f>IF(B501="","",IF(S501&lt;&gt;"",IF(S501&gt;R501,"Closed late","Closed on time"),IF(Settings!$B$4&gt;R501,"Open: overdue","Open")))</f>
        <v/>
      </c>
      <c r="AA501" s="41">
        <f>IF(B501="","",IF(NETWORKDAYS(B501,C501)-1&gt;Settings!$B$5,"Logged late",IF(AND(L501="Escalated",M501=""),"Escalate to Compliance",IF(AND(L501="Escalated",N501=""),"Notify Sponsor Bank",IF(AND(L501="Escalated",N501&lt;&gt;"",NETWORKDAYS(B501,N501)-1&gt;Settings!$B$10),"Sponsor Bank notified late",IF(AND(K501&lt;&gt;"",K501&lt;&gt;"None",Q501=""),"Enter the legal deadline",IF(AND(S501&lt;&gt;"",OR(T501="",V501="")),"Record outcome and root cause",IF(AND(P501="",S501="",Settings!$B$4&gt;O501),"Acknowledgment overdue",""))))))))</f>
        <v/>
      </c>
    </row>
    <row r="502" ht="15.75" customHeight="1" s="31">
      <c r="A502" s="44" t="n"/>
      <c r="B502" s="45" t="n"/>
      <c r="C502" s="45" t="n"/>
      <c r="D502" s="44" t="n"/>
      <c r="E502" s="44" t="n"/>
      <c r="F502" s="44" t="n"/>
      <c r="G502" s="44" t="n"/>
      <c r="H502" s="44" t="n"/>
      <c r="I502" s="44" t="n"/>
      <c r="J502" s="44" t="n"/>
      <c r="K502" s="44" t="n"/>
      <c r="L502" s="41">
        <f>IF(B502="","",IF(OR(COUNTIF(Settings!$E$4:$E$9,D502)&gt;0,I502="Yes",J502="Yes",K502="Fair lending allegation"),"Escalated","Standard"))</f>
        <v/>
      </c>
      <c r="M502" s="45" t="n"/>
      <c r="N502" s="45" t="n"/>
      <c r="O502" s="42">
        <f>IF(B502="","",WORKDAY(B502,Settings!$B$7))</f>
        <v/>
      </c>
      <c r="P502" s="45" t="n"/>
      <c r="Q502" s="45" t="n"/>
      <c r="R502" s="42">
        <f>IF(B502="","",IF(Q502&lt;&gt;"",MIN(Q502,IF(L502="Escalated",B502+Settings!$B$9,WORKDAY(B502,Settings!$B$8))),IF(L502="Escalated",B502+Settings!$B$9,WORKDAY(B502,Settings!$B$8))))</f>
        <v/>
      </c>
      <c r="S502" s="45" t="n"/>
      <c r="T502" s="44" t="n"/>
      <c r="U502" s="46" t="n"/>
      <c r="V502" s="44" t="n"/>
      <c r="W502" s="44" t="n"/>
      <c r="X502" s="44" t="n"/>
      <c r="Y502" s="41">
        <f>IF(B502="","",IF(S502&lt;&gt;"",S502,Settings!$B$4)-B502)</f>
        <v/>
      </c>
      <c r="Z502" s="41">
        <f>IF(B502="","",IF(S502&lt;&gt;"",IF(S502&gt;R502,"Closed late","Closed on time"),IF(Settings!$B$4&gt;R502,"Open: overdue","Open")))</f>
        <v/>
      </c>
      <c r="AA502" s="41">
        <f>IF(B502="","",IF(NETWORKDAYS(B502,C502)-1&gt;Settings!$B$5,"Logged late",IF(AND(L502="Escalated",M502=""),"Escalate to Compliance",IF(AND(L502="Escalated",N502=""),"Notify Sponsor Bank",IF(AND(L502="Escalated",N502&lt;&gt;"",NETWORKDAYS(B502,N502)-1&gt;Settings!$B$10),"Sponsor Bank notified late",IF(AND(K502&lt;&gt;"",K502&lt;&gt;"None",Q502=""),"Enter the legal deadline",IF(AND(S502&lt;&gt;"",OR(T502="",V502="")),"Record outcome and root cause",IF(AND(P502="",S502="",Settings!$B$4&gt;O502),"Acknowledgment overdue",""))))))))</f>
        <v/>
      </c>
    </row>
    <row r="503" ht="15.75" customHeight="1" s="31">
      <c r="A503" s="44" t="n"/>
      <c r="B503" s="45" t="n"/>
      <c r="C503" s="45" t="n"/>
      <c r="D503" s="44" t="n"/>
      <c r="E503" s="44" t="n"/>
      <c r="F503" s="44" t="n"/>
      <c r="G503" s="44" t="n"/>
      <c r="H503" s="44" t="n"/>
      <c r="I503" s="44" t="n"/>
      <c r="J503" s="44" t="n"/>
      <c r="K503" s="44" t="n"/>
      <c r="L503" s="41">
        <f>IF(B503="","",IF(OR(COUNTIF(Settings!$E$4:$E$9,D503)&gt;0,I503="Yes",J503="Yes",K503="Fair lending allegation"),"Escalated","Standard"))</f>
        <v/>
      </c>
      <c r="M503" s="45" t="n"/>
      <c r="N503" s="45" t="n"/>
      <c r="O503" s="42">
        <f>IF(B503="","",WORKDAY(B503,Settings!$B$7))</f>
        <v/>
      </c>
      <c r="P503" s="45" t="n"/>
      <c r="Q503" s="45" t="n"/>
      <c r="R503" s="42">
        <f>IF(B503="","",IF(Q503&lt;&gt;"",MIN(Q503,IF(L503="Escalated",B503+Settings!$B$9,WORKDAY(B503,Settings!$B$8))),IF(L503="Escalated",B503+Settings!$B$9,WORKDAY(B503,Settings!$B$8))))</f>
        <v/>
      </c>
      <c r="S503" s="45" t="n"/>
      <c r="T503" s="44" t="n"/>
      <c r="U503" s="46" t="n"/>
      <c r="V503" s="44" t="n"/>
      <c r="W503" s="44" t="n"/>
      <c r="X503" s="44" t="n"/>
      <c r="Y503" s="41">
        <f>IF(B503="","",IF(S503&lt;&gt;"",S503,Settings!$B$4)-B503)</f>
        <v/>
      </c>
      <c r="Z503" s="41">
        <f>IF(B503="","",IF(S503&lt;&gt;"",IF(S503&gt;R503,"Closed late","Closed on time"),IF(Settings!$B$4&gt;R503,"Open: overdue","Open")))</f>
        <v/>
      </c>
      <c r="AA503" s="41">
        <f>IF(B503="","",IF(NETWORKDAYS(B503,C503)-1&gt;Settings!$B$5,"Logged late",IF(AND(L503="Escalated",M503=""),"Escalate to Compliance",IF(AND(L503="Escalated",N503=""),"Notify Sponsor Bank",IF(AND(L503="Escalated",N503&lt;&gt;"",NETWORKDAYS(B503,N503)-1&gt;Settings!$B$10),"Sponsor Bank notified late",IF(AND(K503&lt;&gt;"",K503&lt;&gt;"None",Q503=""),"Enter the legal deadline",IF(AND(S503&lt;&gt;"",OR(T503="",V503="")),"Record outcome and root cause",IF(AND(P503="",S503="",Settings!$B$4&gt;O503),"Acknowledgment overdue",""))))))))</f>
        <v/>
      </c>
    </row>
    <row r="504" ht="15.75" customHeight="1" s="31">
      <c r="A504" s="44" t="n"/>
      <c r="B504" s="45" t="n"/>
      <c r="C504" s="45" t="n"/>
      <c r="D504" s="44" t="n"/>
      <c r="E504" s="44" t="n"/>
      <c r="F504" s="44" t="n"/>
      <c r="G504" s="44" t="n"/>
      <c r="H504" s="44" t="n"/>
      <c r="I504" s="44" t="n"/>
      <c r="J504" s="44" t="n"/>
      <c r="K504" s="44" t="n"/>
      <c r="L504" s="41">
        <f>IF(B504="","",IF(OR(COUNTIF(Settings!$E$4:$E$9,D504)&gt;0,I504="Yes",J504="Yes",K504="Fair lending allegation"),"Escalated","Standard"))</f>
        <v/>
      </c>
      <c r="M504" s="45" t="n"/>
      <c r="N504" s="45" t="n"/>
      <c r="O504" s="42">
        <f>IF(B504="","",WORKDAY(B504,Settings!$B$7))</f>
        <v/>
      </c>
      <c r="P504" s="45" t="n"/>
      <c r="Q504" s="45" t="n"/>
      <c r="R504" s="42">
        <f>IF(B504="","",IF(Q504&lt;&gt;"",MIN(Q504,IF(L504="Escalated",B504+Settings!$B$9,WORKDAY(B504,Settings!$B$8))),IF(L504="Escalated",B504+Settings!$B$9,WORKDAY(B504,Settings!$B$8))))</f>
        <v/>
      </c>
      <c r="S504" s="45" t="n"/>
      <c r="T504" s="44" t="n"/>
      <c r="U504" s="46" t="n"/>
      <c r="V504" s="44" t="n"/>
      <c r="W504" s="44" t="n"/>
      <c r="X504" s="44" t="n"/>
      <c r="Y504" s="41">
        <f>IF(B504="","",IF(S504&lt;&gt;"",S504,Settings!$B$4)-B504)</f>
        <v/>
      </c>
      <c r="Z504" s="41">
        <f>IF(B504="","",IF(S504&lt;&gt;"",IF(S504&gt;R504,"Closed late","Closed on time"),IF(Settings!$B$4&gt;R504,"Open: overdue","Open")))</f>
        <v/>
      </c>
      <c r="AA504" s="41">
        <f>IF(B504="","",IF(NETWORKDAYS(B504,C504)-1&gt;Settings!$B$5,"Logged late",IF(AND(L504="Escalated",M504=""),"Escalate to Compliance",IF(AND(L504="Escalated",N504=""),"Notify Sponsor Bank",IF(AND(L504="Escalated",N504&lt;&gt;"",NETWORKDAYS(B504,N504)-1&gt;Settings!$B$10),"Sponsor Bank notified late",IF(AND(K504&lt;&gt;"",K504&lt;&gt;"None",Q504=""),"Enter the legal deadline",IF(AND(S504&lt;&gt;"",OR(T504="",V504="")),"Record outcome and root cause",IF(AND(P504="",S504="",Settings!$B$4&gt;O504),"Acknowledgment overdue",""))))))))</f>
        <v/>
      </c>
    </row>
  </sheetData>
  <autoFilter ref="A4:AA504"/>
  <conditionalFormatting sqref="Z5:Z504">
    <cfRule type="cellIs" rank="0" priority="2" equalAverage="0" operator="equal" aboveAverage="0" dxfId="10" text="" percent="0" bottom="0">
      <formula>"Closed late"</formula>
    </cfRule>
    <cfRule type="cellIs" rank="0" priority="3" equalAverage="0" operator="equal" aboveAverage="0" dxfId="11" text="" percent="0" bottom="0">
      <formula>"Open: overdue"</formula>
    </cfRule>
    <cfRule type="cellIs" rank="0" priority="4" equalAverage="0" operator="equal" aboveAverage="0" dxfId="12" text="" percent="0" bottom="0">
      <formula>"Closed on time"</formula>
    </cfRule>
  </conditionalFormatting>
  <conditionalFormatting sqref="L5:L504">
    <cfRule type="cellIs" rank="0" priority="5" equalAverage="0" operator="equal" aboveAverage="0" dxfId="13" text="" percent="0" bottom="0">
      <formula>"Escalated"</formula>
    </cfRule>
  </conditionalFormatting>
  <conditionalFormatting sqref="AA5:AA504">
    <cfRule type="expression" rank="0" priority="6" equalAverage="0" aboveAverage="0" dxfId="14" text="" percent="0" bottom="0">
      <formula>LEN(AA5)&gt;0</formula>
    </cfRule>
  </conditionalFormatting>
  <dataValidations count="7">
    <dataValidation sqref="D5:D504" showDropDown="0" showInputMessage="0" showErrorMessage="0" allowBlank="1" type="list" errorStyle="stop" operator="between">
      <formula1>Settings!$D$4:$D$15</formula1>
      <formula2>0</formula2>
    </dataValidation>
    <dataValidation sqref="G5:G504" showDropDown="0" showInputMessage="0" showErrorMessage="0" allowBlank="1" type="list" errorStyle="stop" operator="between">
      <formula1>Settings!$F$4:$F$19</formula1>
      <formula2>0</formula2>
    </dataValidation>
    <dataValidation sqref="V5:V504" showDropDown="0" showInputMessage="0" showErrorMessage="0" allowBlank="1" type="list" errorStyle="stop" operator="between">
      <formula1>Settings!$G$4:$G$13</formula1>
      <formula2>0</formula2>
    </dataValidation>
    <dataValidation sqref="K5:K504" showDropDown="0" showInputMessage="0" showErrorMessage="0" allowBlank="1" type="list" errorStyle="stop" operator="between">
      <formula1>Settings!$H$4:$H$9</formula1>
      <formula2>0</formula2>
    </dataValidation>
    <dataValidation sqref="T5:T504" showDropDown="0" showInputMessage="0" showErrorMessage="0" allowBlank="1" type="list" errorStyle="stop" operator="between">
      <formula1>Settings!$I$4:$I$9</formula1>
      <formula2>0</formula2>
    </dataValidation>
    <dataValidation sqref="I5:I504" showDropDown="0" showInputMessage="0" showErrorMessage="0" allowBlank="1" type="list" errorStyle="stop" operator="between">
      <formula1>"Yes,No"</formula1>
      <formula2>0</formula2>
    </dataValidation>
    <dataValidation sqref="J5:J504" showDropDown="0" showInputMessage="0" showErrorMessage="0" allowBlank="1" type="list" errorStyle="stop" operator="between">
      <formula1>"Yes,No"</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E5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8" customWidth="1" style="30" min="1" max="1"/>
    <col width="12" customWidth="1" style="30" min="2" max="2"/>
    <col width="14" customWidth="1" style="30" min="3" max="3"/>
    <col width="12" customWidth="1" style="30" min="4" max="4"/>
    <col width="14" customWidth="1" style="30" min="5" max="5"/>
  </cols>
  <sheetData>
    <row r="1" ht="16.15" customHeight="1" s="31">
      <c r="A1" s="47" t="inlineStr">
        <is>
          <t>Complaint Summary (for the Compliance Committee and Sponsor Bank)</t>
        </is>
      </c>
    </row>
    <row r="2" ht="15" customHeight="1" s="31">
      <c r="A2" s="33">
        <f>"As of "&amp;TEXT(Settings!B4,"mm/dd/yyyy")</f>
        <v/>
      </c>
    </row>
    <row r="4" ht="15" customHeight="1" s="31">
      <c r="A4" s="48" t="inlineStr">
        <is>
          <t>Complaints received by month (last 12 months)</t>
        </is>
      </c>
    </row>
    <row r="5" ht="15" customHeight="1" s="31">
      <c r="A5" s="38" t="inlineStr">
        <is>
          <t>Month</t>
        </is>
      </c>
      <c r="B5" s="38" t="inlineStr">
        <is>
          <t>Standard</t>
        </is>
      </c>
      <c r="C5" s="38" t="inlineStr">
        <is>
          <t>Escalated</t>
        </is>
      </c>
      <c r="D5" s="38" t="inlineStr">
        <is>
          <t>Total</t>
        </is>
      </c>
      <c r="E5" s="38" t="inlineStr">
        <is>
          <t>Closed late</t>
        </is>
      </c>
    </row>
    <row r="6" ht="15" customHeight="1" s="31">
      <c r="A6" s="49">
        <f>EDATE(EOMONTH(Settings!$B$4,-1)+1,-11)</f>
        <v/>
      </c>
      <c r="B6" s="50">
        <f>COUNTIFS(Log!$B$5:$B$504,"&gt;="&amp;A6,Log!$B$5:$B$504,"&lt;"&amp;EDATE(A6,1),Log!$L$5:$L$504,"Standard")</f>
        <v/>
      </c>
      <c r="C6" s="50">
        <f>COUNTIFS(Log!$B$5:$B$504,"&gt;="&amp;A6,Log!$B$5:$B$504,"&lt;"&amp;EDATE(A6,1),Log!$L$5:$L$504,"Escalated")</f>
        <v/>
      </c>
      <c r="D6" s="51">
        <f>B6+C6</f>
        <v/>
      </c>
      <c r="E6" s="50">
        <f>COUNTIFS(Log!$B$5:$B$504,"&gt;="&amp;A6,Log!$B$5:$B$504,"&lt;"&amp;EDATE(A6,1),Log!$Z$5:$Z$504,"Closed late")</f>
        <v/>
      </c>
    </row>
    <row r="7" ht="15" customHeight="1" s="31">
      <c r="A7" s="49">
        <f>EDATE(EOMONTH(Settings!$B$4,-1)+1,-10)</f>
        <v/>
      </c>
      <c r="B7" s="50">
        <f>COUNTIFS(Log!$B$5:$B$504,"&gt;="&amp;A7,Log!$B$5:$B$504,"&lt;"&amp;EDATE(A7,1),Log!$L$5:$L$504,"Standard")</f>
        <v/>
      </c>
      <c r="C7" s="50">
        <f>COUNTIFS(Log!$B$5:$B$504,"&gt;="&amp;A7,Log!$B$5:$B$504,"&lt;"&amp;EDATE(A7,1),Log!$L$5:$L$504,"Escalated")</f>
        <v/>
      </c>
      <c r="D7" s="51">
        <f>B7+C7</f>
        <v/>
      </c>
      <c r="E7" s="50">
        <f>COUNTIFS(Log!$B$5:$B$504,"&gt;="&amp;A7,Log!$B$5:$B$504,"&lt;"&amp;EDATE(A7,1),Log!$Z$5:$Z$504,"Closed late")</f>
        <v/>
      </c>
    </row>
    <row r="8" ht="15" customHeight="1" s="31">
      <c r="A8" s="49">
        <f>EDATE(EOMONTH(Settings!$B$4,-1)+1,-9)</f>
        <v/>
      </c>
      <c r="B8" s="50">
        <f>COUNTIFS(Log!$B$5:$B$504,"&gt;="&amp;A8,Log!$B$5:$B$504,"&lt;"&amp;EDATE(A8,1),Log!$L$5:$L$504,"Standard")</f>
        <v/>
      </c>
      <c r="C8" s="50">
        <f>COUNTIFS(Log!$B$5:$B$504,"&gt;="&amp;A8,Log!$B$5:$B$504,"&lt;"&amp;EDATE(A8,1),Log!$L$5:$L$504,"Escalated")</f>
        <v/>
      </c>
      <c r="D8" s="51">
        <f>B8+C8</f>
        <v/>
      </c>
      <c r="E8" s="50">
        <f>COUNTIFS(Log!$B$5:$B$504,"&gt;="&amp;A8,Log!$B$5:$B$504,"&lt;"&amp;EDATE(A8,1),Log!$Z$5:$Z$504,"Closed late")</f>
        <v/>
      </c>
    </row>
    <row r="9" ht="15" customHeight="1" s="31">
      <c r="A9" s="49">
        <f>EDATE(EOMONTH(Settings!$B$4,-1)+1,-8)</f>
        <v/>
      </c>
      <c r="B9" s="50">
        <f>COUNTIFS(Log!$B$5:$B$504,"&gt;="&amp;A9,Log!$B$5:$B$504,"&lt;"&amp;EDATE(A9,1),Log!$L$5:$L$504,"Standard")</f>
        <v/>
      </c>
      <c r="C9" s="50">
        <f>COUNTIFS(Log!$B$5:$B$504,"&gt;="&amp;A9,Log!$B$5:$B$504,"&lt;"&amp;EDATE(A9,1),Log!$L$5:$L$504,"Escalated")</f>
        <v/>
      </c>
      <c r="D9" s="51">
        <f>B9+C9</f>
        <v/>
      </c>
      <c r="E9" s="50">
        <f>COUNTIFS(Log!$B$5:$B$504,"&gt;="&amp;A9,Log!$B$5:$B$504,"&lt;"&amp;EDATE(A9,1),Log!$Z$5:$Z$504,"Closed late")</f>
        <v/>
      </c>
    </row>
    <row r="10" ht="15" customHeight="1" s="31">
      <c r="A10" s="49">
        <f>EDATE(EOMONTH(Settings!$B$4,-1)+1,-7)</f>
        <v/>
      </c>
      <c r="B10" s="50">
        <f>COUNTIFS(Log!$B$5:$B$504,"&gt;="&amp;A10,Log!$B$5:$B$504,"&lt;"&amp;EDATE(A10,1),Log!$L$5:$L$504,"Standard")</f>
        <v/>
      </c>
      <c r="C10" s="50">
        <f>COUNTIFS(Log!$B$5:$B$504,"&gt;="&amp;A10,Log!$B$5:$B$504,"&lt;"&amp;EDATE(A10,1),Log!$L$5:$L$504,"Escalated")</f>
        <v/>
      </c>
      <c r="D10" s="51">
        <f>B10+C10</f>
        <v/>
      </c>
      <c r="E10" s="50">
        <f>COUNTIFS(Log!$B$5:$B$504,"&gt;="&amp;A10,Log!$B$5:$B$504,"&lt;"&amp;EDATE(A10,1),Log!$Z$5:$Z$504,"Closed late")</f>
        <v/>
      </c>
    </row>
    <row r="11" ht="15" customHeight="1" s="31">
      <c r="A11" s="49">
        <f>EDATE(EOMONTH(Settings!$B$4,-1)+1,-6)</f>
        <v/>
      </c>
      <c r="B11" s="50">
        <f>COUNTIFS(Log!$B$5:$B$504,"&gt;="&amp;A11,Log!$B$5:$B$504,"&lt;"&amp;EDATE(A11,1),Log!$L$5:$L$504,"Standard")</f>
        <v/>
      </c>
      <c r="C11" s="50">
        <f>COUNTIFS(Log!$B$5:$B$504,"&gt;="&amp;A11,Log!$B$5:$B$504,"&lt;"&amp;EDATE(A11,1),Log!$L$5:$L$504,"Escalated")</f>
        <v/>
      </c>
      <c r="D11" s="51">
        <f>B11+C11</f>
        <v/>
      </c>
      <c r="E11" s="50">
        <f>COUNTIFS(Log!$B$5:$B$504,"&gt;="&amp;A11,Log!$B$5:$B$504,"&lt;"&amp;EDATE(A11,1),Log!$Z$5:$Z$504,"Closed late")</f>
        <v/>
      </c>
    </row>
    <row r="12" ht="15" customHeight="1" s="31">
      <c r="A12" s="49">
        <f>EDATE(EOMONTH(Settings!$B$4,-1)+1,-5)</f>
        <v/>
      </c>
      <c r="B12" s="50">
        <f>COUNTIFS(Log!$B$5:$B$504,"&gt;="&amp;A12,Log!$B$5:$B$504,"&lt;"&amp;EDATE(A12,1),Log!$L$5:$L$504,"Standard")</f>
        <v/>
      </c>
      <c r="C12" s="50">
        <f>COUNTIFS(Log!$B$5:$B$504,"&gt;="&amp;A12,Log!$B$5:$B$504,"&lt;"&amp;EDATE(A12,1),Log!$L$5:$L$504,"Escalated")</f>
        <v/>
      </c>
      <c r="D12" s="51">
        <f>B12+C12</f>
        <v/>
      </c>
      <c r="E12" s="50">
        <f>COUNTIFS(Log!$B$5:$B$504,"&gt;="&amp;A12,Log!$B$5:$B$504,"&lt;"&amp;EDATE(A12,1),Log!$Z$5:$Z$504,"Closed late")</f>
        <v/>
      </c>
    </row>
    <row r="13" ht="15" customHeight="1" s="31">
      <c r="A13" s="49">
        <f>EDATE(EOMONTH(Settings!$B$4,-1)+1,-4)</f>
        <v/>
      </c>
      <c r="B13" s="50">
        <f>COUNTIFS(Log!$B$5:$B$504,"&gt;="&amp;A13,Log!$B$5:$B$504,"&lt;"&amp;EDATE(A13,1),Log!$L$5:$L$504,"Standard")</f>
        <v/>
      </c>
      <c r="C13" s="50">
        <f>COUNTIFS(Log!$B$5:$B$504,"&gt;="&amp;A13,Log!$B$5:$B$504,"&lt;"&amp;EDATE(A13,1),Log!$L$5:$L$504,"Escalated")</f>
        <v/>
      </c>
      <c r="D13" s="51">
        <f>B13+C13</f>
        <v/>
      </c>
      <c r="E13" s="50">
        <f>COUNTIFS(Log!$B$5:$B$504,"&gt;="&amp;A13,Log!$B$5:$B$504,"&lt;"&amp;EDATE(A13,1),Log!$Z$5:$Z$504,"Closed late")</f>
        <v/>
      </c>
    </row>
    <row r="14" ht="15" customHeight="1" s="31">
      <c r="A14" s="49">
        <f>EDATE(EOMONTH(Settings!$B$4,-1)+1,-3)</f>
        <v/>
      </c>
      <c r="B14" s="50">
        <f>COUNTIFS(Log!$B$5:$B$504,"&gt;="&amp;A14,Log!$B$5:$B$504,"&lt;"&amp;EDATE(A14,1),Log!$L$5:$L$504,"Standard")</f>
        <v/>
      </c>
      <c r="C14" s="50">
        <f>COUNTIFS(Log!$B$5:$B$504,"&gt;="&amp;A14,Log!$B$5:$B$504,"&lt;"&amp;EDATE(A14,1),Log!$L$5:$L$504,"Escalated")</f>
        <v/>
      </c>
      <c r="D14" s="51">
        <f>B14+C14</f>
        <v/>
      </c>
      <c r="E14" s="50">
        <f>COUNTIFS(Log!$B$5:$B$504,"&gt;="&amp;A14,Log!$B$5:$B$504,"&lt;"&amp;EDATE(A14,1),Log!$Z$5:$Z$504,"Closed late")</f>
        <v/>
      </c>
    </row>
    <row r="15" ht="15" customHeight="1" s="31">
      <c r="A15" s="49">
        <f>EDATE(EOMONTH(Settings!$B$4,-1)+1,-2)</f>
        <v/>
      </c>
      <c r="B15" s="50">
        <f>COUNTIFS(Log!$B$5:$B$504,"&gt;="&amp;A15,Log!$B$5:$B$504,"&lt;"&amp;EDATE(A15,1),Log!$L$5:$L$504,"Standard")</f>
        <v/>
      </c>
      <c r="C15" s="50">
        <f>COUNTIFS(Log!$B$5:$B$504,"&gt;="&amp;A15,Log!$B$5:$B$504,"&lt;"&amp;EDATE(A15,1),Log!$L$5:$L$504,"Escalated")</f>
        <v/>
      </c>
      <c r="D15" s="51">
        <f>B15+C15</f>
        <v/>
      </c>
      <c r="E15" s="50">
        <f>COUNTIFS(Log!$B$5:$B$504,"&gt;="&amp;A15,Log!$B$5:$B$504,"&lt;"&amp;EDATE(A15,1),Log!$Z$5:$Z$504,"Closed late")</f>
        <v/>
      </c>
    </row>
    <row r="16" ht="15" customHeight="1" s="31">
      <c r="A16" s="49">
        <f>EDATE(EOMONTH(Settings!$B$4,-1)+1,-1)</f>
        <v/>
      </c>
      <c r="B16" s="50">
        <f>COUNTIFS(Log!$B$5:$B$504,"&gt;="&amp;A16,Log!$B$5:$B$504,"&lt;"&amp;EDATE(A16,1),Log!$L$5:$L$504,"Standard")</f>
        <v/>
      </c>
      <c r="C16" s="50">
        <f>COUNTIFS(Log!$B$5:$B$504,"&gt;="&amp;A16,Log!$B$5:$B$504,"&lt;"&amp;EDATE(A16,1),Log!$L$5:$L$504,"Escalated")</f>
        <v/>
      </c>
      <c r="D16" s="51">
        <f>B16+C16</f>
        <v/>
      </c>
      <c r="E16" s="50">
        <f>COUNTIFS(Log!$B$5:$B$504,"&gt;="&amp;A16,Log!$B$5:$B$504,"&lt;"&amp;EDATE(A16,1),Log!$Z$5:$Z$504,"Closed late")</f>
        <v/>
      </c>
    </row>
    <row r="17" ht="15" customHeight="1" s="31">
      <c r="A17" s="49">
        <f>EDATE(EOMONTH(Settings!$B$4,-1)+1,0)</f>
        <v/>
      </c>
      <c r="B17" s="50">
        <f>COUNTIFS(Log!$B$5:$B$504,"&gt;="&amp;A17,Log!$B$5:$B$504,"&lt;"&amp;EDATE(A17,1),Log!$L$5:$L$504,"Standard")</f>
        <v/>
      </c>
      <c r="C17" s="50">
        <f>COUNTIFS(Log!$B$5:$B$504,"&gt;="&amp;A17,Log!$B$5:$B$504,"&lt;"&amp;EDATE(A17,1),Log!$L$5:$L$504,"Escalated")</f>
        <v/>
      </c>
      <c r="D17" s="51">
        <f>B17+C17</f>
        <v/>
      </c>
      <c r="E17" s="50">
        <f>COUNTIFS(Log!$B$5:$B$504,"&gt;="&amp;A17,Log!$B$5:$B$504,"&lt;"&amp;EDATE(A17,1),Log!$Z$5:$Z$504,"Closed late")</f>
        <v/>
      </c>
    </row>
    <row r="20" ht="15" customHeight="1" s="31">
      <c r="A20" s="48" t="inlineStr">
        <is>
          <t>By issue category (all complaints in log)</t>
        </is>
      </c>
    </row>
    <row r="21" ht="15" customHeight="1" s="31">
      <c r="A21" s="38" t="inlineStr">
        <is>
          <t>Issue category</t>
        </is>
      </c>
      <c r="B21" s="38" t="inlineStr">
        <is>
          <t>Total</t>
        </is>
      </c>
      <c r="C21" s="38" t="inlineStr">
        <is>
          <t>Escalated</t>
        </is>
      </c>
      <c r="D21" s="38" t="inlineStr">
        <is>
          <t>Open</t>
        </is>
      </c>
      <c r="E21" s="38" t="inlineStr">
        <is>
          <t>Open: overdue</t>
        </is>
      </c>
    </row>
    <row r="22" ht="15" customHeight="1" s="31">
      <c r="A22" s="52" t="inlineStr">
        <is>
          <t>Account opening / eligibility</t>
        </is>
      </c>
      <c r="B22" s="50">
        <f>COUNTIF(Log!$G$5:$G$504,A22)</f>
        <v/>
      </c>
      <c r="C22" s="50">
        <f>COUNTIFS(Log!$G$5:$G$504,A22,Log!$L$5:$L$504,"Escalated")</f>
        <v/>
      </c>
      <c r="D22" s="50">
        <f>COUNTIFS(Log!$G$5:$G$504,A22,Log!$Z$5:$Z$504,"Open")+COUNTIFS(Log!$G$5:$G$504,A22,Log!$Z$5:$Z$504,"Open: overdue")</f>
        <v/>
      </c>
      <c r="E22" s="50">
        <f>COUNTIFS(Log!$G$5:$G$504,A22,Log!$Z$5:$Z$504,"Open: overdue")</f>
        <v/>
      </c>
    </row>
    <row r="23" ht="15" customHeight="1" s="31">
      <c r="A23" s="52" t="inlineStr">
        <is>
          <t>Account access, holds, or closure</t>
        </is>
      </c>
      <c r="B23" s="50">
        <f>COUNTIF(Log!$G$5:$G$504,A23)</f>
        <v/>
      </c>
      <c r="C23" s="50">
        <f>COUNTIFS(Log!$G$5:$G$504,A23,Log!$L$5:$L$504,"Escalated")</f>
        <v/>
      </c>
      <c r="D23" s="50">
        <f>COUNTIFS(Log!$G$5:$G$504,A23,Log!$Z$5:$Z$504,"Open")+COUNTIFS(Log!$G$5:$G$504,A23,Log!$Z$5:$Z$504,"Open: overdue")</f>
        <v/>
      </c>
      <c r="E23" s="50">
        <f>COUNTIFS(Log!$G$5:$G$504,A23,Log!$Z$5:$Z$504,"Open: overdue")</f>
        <v/>
      </c>
    </row>
    <row r="24" ht="15" customHeight="1" s="31">
      <c r="A24" s="52" t="inlineStr">
        <is>
          <t>Fees and charges</t>
        </is>
      </c>
      <c r="B24" s="50">
        <f>COUNTIF(Log!$G$5:$G$504,A24)</f>
        <v/>
      </c>
      <c r="C24" s="50">
        <f>COUNTIFS(Log!$G$5:$G$504,A24,Log!$L$5:$L$504,"Escalated")</f>
        <v/>
      </c>
      <c r="D24" s="50">
        <f>COUNTIFS(Log!$G$5:$G$504,A24,Log!$Z$5:$Z$504,"Open")+COUNTIFS(Log!$G$5:$G$504,A24,Log!$Z$5:$Z$504,"Open: overdue")</f>
        <v/>
      </c>
      <c r="E24" s="50">
        <f>COUNTIFS(Log!$G$5:$G$504,A24,Log!$Z$5:$Z$504,"Open: overdue")</f>
        <v/>
      </c>
    </row>
    <row r="25" ht="15" customHeight="1" s="31">
      <c r="A25" s="52" t="inlineStr">
        <is>
          <t>Transactions and payments</t>
        </is>
      </c>
      <c r="B25" s="50">
        <f>COUNTIF(Log!$G$5:$G$504,A25)</f>
        <v/>
      </c>
      <c r="C25" s="50">
        <f>COUNTIFS(Log!$G$5:$G$504,A25,Log!$L$5:$L$504,"Escalated")</f>
        <v/>
      </c>
      <c r="D25" s="50">
        <f>COUNTIFS(Log!$G$5:$G$504,A25,Log!$Z$5:$Z$504,"Open")+COUNTIFS(Log!$G$5:$G$504,A25,Log!$Z$5:$Z$504,"Open: overdue")</f>
        <v/>
      </c>
      <c r="E25" s="50">
        <f>COUNTIFS(Log!$G$5:$G$504,A25,Log!$Z$5:$Z$504,"Open: overdue")</f>
        <v/>
      </c>
    </row>
    <row r="26" ht="15" customHeight="1" s="31">
      <c r="A26" s="52" t="inlineStr">
        <is>
          <t>Unauthorized transaction or dispute</t>
        </is>
      </c>
      <c r="B26" s="50">
        <f>COUNTIF(Log!$G$5:$G$504,A26)</f>
        <v/>
      </c>
      <c r="C26" s="50">
        <f>COUNTIFS(Log!$G$5:$G$504,A26,Log!$L$5:$L$504,"Escalated")</f>
        <v/>
      </c>
      <c r="D26" s="50">
        <f>COUNTIFS(Log!$G$5:$G$504,A26,Log!$Z$5:$Z$504,"Open")+COUNTIFS(Log!$G$5:$G$504,A26,Log!$Z$5:$Z$504,"Open: overdue")</f>
        <v/>
      </c>
      <c r="E26" s="50">
        <f>COUNTIFS(Log!$G$5:$G$504,A26,Log!$Z$5:$Z$504,"Open: overdue")</f>
        <v/>
      </c>
    </row>
    <row r="27" ht="15" customHeight="1" s="31">
      <c r="A27" s="52" t="inlineStr">
        <is>
          <t>Card issues</t>
        </is>
      </c>
      <c r="B27" s="50">
        <f>COUNTIF(Log!$G$5:$G$504,A27)</f>
        <v/>
      </c>
      <c r="C27" s="50">
        <f>COUNTIFS(Log!$G$5:$G$504,A27,Log!$L$5:$L$504,"Escalated")</f>
        <v/>
      </c>
      <c r="D27" s="50">
        <f>COUNTIFS(Log!$G$5:$G$504,A27,Log!$Z$5:$Z$504,"Open")+COUNTIFS(Log!$G$5:$G$504,A27,Log!$Z$5:$Z$504,"Open: overdue")</f>
        <v/>
      </c>
      <c r="E27" s="50">
        <f>COUNTIFS(Log!$G$5:$G$504,A27,Log!$Z$5:$Z$504,"Open: overdue")</f>
        <v/>
      </c>
    </row>
    <row r="28" ht="15" customHeight="1" s="31">
      <c r="A28" s="52" t="inlineStr">
        <is>
          <t>Disclosures, marketing, or rewards</t>
        </is>
      </c>
      <c r="B28" s="50">
        <f>COUNTIF(Log!$G$5:$G$504,A28)</f>
        <v/>
      </c>
      <c r="C28" s="50">
        <f>COUNTIFS(Log!$G$5:$G$504,A28,Log!$L$5:$L$504,"Escalated")</f>
        <v/>
      </c>
      <c r="D28" s="50">
        <f>COUNTIFS(Log!$G$5:$G$504,A28,Log!$Z$5:$Z$504,"Open")+COUNTIFS(Log!$G$5:$G$504,A28,Log!$Z$5:$Z$504,"Open: overdue")</f>
        <v/>
      </c>
      <c r="E28" s="50">
        <f>COUNTIFS(Log!$G$5:$G$504,A28,Log!$Z$5:$Z$504,"Open: overdue")</f>
        <v/>
      </c>
    </row>
    <row r="29" ht="15" customHeight="1" s="31">
      <c r="A29" s="52" t="inlineStr">
        <is>
          <t>Customer service</t>
        </is>
      </c>
      <c r="B29" s="50">
        <f>COUNTIF(Log!$G$5:$G$504,A29)</f>
        <v/>
      </c>
      <c r="C29" s="50">
        <f>COUNTIFS(Log!$G$5:$G$504,A29,Log!$L$5:$L$504,"Escalated")</f>
        <v/>
      </c>
      <c r="D29" s="50">
        <f>COUNTIFS(Log!$G$5:$G$504,A29,Log!$Z$5:$Z$504,"Open")+COUNTIFS(Log!$G$5:$G$504,A29,Log!$Z$5:$Z$504,"Open: overdue")</f>
        <v/>
      </c>
      <c r="E29" s="50">
        <f>COUNTIFS(Log!$G$5:$G$504,A29,Log!$Z$5:$Z$504,"Open: overdue")</f>
        <v/>
      </c>
    </row>
    <row r="30" ht="15" customHeight="1" s="31">
      <c r="A30" s="52" t="inlineStr">
        <is>
          <t>Credit decision</t>
        </is>
      </c>
      <c r="B30" s="50">
        <f>COUNTIF(Log!$G$5:$G$504,A30)</f>
        <v/>
      </c>
      <c r="C30" s="50">
        <f>COUNTIFS(Log!$G$5:$G$504,A30,Log!$L$5:$L$504,"Escalated")</f>
        <v/>
      </c>
      <c r="D30" s="50">
        <f>COUNTIFS(Log!$G$5:$G$504,A30,Log!$Z$5:$Z$504,"Open")+COUNTIFS(Log!$G$5:$G$504,A30,Log!$Z$5:$Z$504,"Open: overdue")</f>
        <v/>
      </c>
      <c r="E30" s="50">
        <f>COUNTIFS(Log!$G$5:$G$504,A30,Log!$Z$5:$Z$504,"Open: overdue")</f>
        <v/>
      </c>
    </row>
    <row r="31" ht="15" customHeight="1" s="31">
      <c r="A31" s="52" t="inlineStr">
        <is>
          <t>Billing or statements</t>
        </is>
      </c>
      <c r="B31" s="50">
        <f>COUNTIF(Log!$G$5:$G$504,A31)</f>
        <v/>
      </c>
      <c r="C31" s="50">
        <f>COUNTIFS(Log!$G$5:$G$504,A31,Log!$L$5:$L$504,"Escalated")</f>
        <v/>
      </c>
      <c r="D31" s="50">
        <f>COUNTIFS(Log!$G$5:$G$504,A31,Log!$Z$5:$Z$504,"Open")+COUNTIFS(Log!$G$5:$G$504,A31,Log!$Z$5:$Z$504,"Open: overdue")</f>
        <v/>
      </c>
      <c r="E31" s="50">
        <f>COUNTIFS(Log!$G$5:$G$504,A31,Log!$Z$5:$Z$504,"Open: overdue")</f>
        <v/>
      </c>
    </row>
    <row r="32" ht="15" customHeight="1" s="31">
      <c r="A32" s="52" t="inlineStr">
        <is>
          <t>Collections</t>
        </is>
      </c>
      <c r="B32" s="50">
        <f>COUNTIF(Log!$G$5:$G$504,A32)</f>
        <v/>
      </c>
      <c r="C32" s="50">
        <f>COUNTIFS(Log!$G$5:$G$504,A32,Log!$L$5:$L$504,"Escalated")</f>
        <v/>
      </c>
      <c r="D32" s="50">
        <f>COUNTIFS(Log!$G$5:$G$504,A32,Log!$Z$5:$Z$504,"Open")+COUNTIFS(Log!$G$5:$G$504,A32,Log!$Z$5:$Z$504,"Open: overdue")</f>
        <v/>
      </c>
      <c r="E32" s="50">
        <f>COUNTIFS(Log!$G$5:$G$504,A32,Log!$Z$5:$Z$504,"Open: overdue")</f>
        <v/>
      </c>
    </row>
    <row r="33" ht="15" customHeight="1" s="31">
      <c r="A33" s="52" t="inlineStr">
        <is>
          <t>Credit reporting</t>
        </is>
      </c>
      <c r="B33" s="50">
        <f>COUNTIF(Log!$G$5:$G$504,A33)</f>
        <v/>
      </c>
      <c r="C33" s="50">
        <f>COUNTIFS(Log!$G$5:$G$504,A33,Log!$L$5:$L$504,"Escalated")</f>
        <v/>
      </c>
      <c r="D33" s="50">
        <f>COUNTIFS(Log!$G$5:$G$504,A33,Log!$Z$5:$Z$504,"Open")+COUNTIFS(Log!$G$5:$G$504,A33,Log!$Z$5:$Z$504,"Open: overdue")</f>
        <v/>
      </c>
      <c r="E33" s="50">
        <f>COUNTIFS(Log!$G$5:$G$504,A33,Log!$Z$5:$Z$504,"Open: overdue")</f>
        <v/>
      </c>
    </row>
    <row r="34" ht="15" customHeight="1" s="31">
      <c r="A34" s="52" t="inlineStr">
        <is>
          <t>Privacy or data security</t>
        </is>
      </c>
      <c r="B34" s="50">
        <f>COUNTIF(Log!$G$5:$G$504,A34)</f>
        <v/>
      </c>
      <c r="C34" s="50">
        <f>COUNTIFS(Log!$G$5:$G$504,A34,Log!$L$5:$L$504,"Escalated")</f>
        <v/>
      </c>
      <c r="D34" s="50">
        <f>COUNTIFS(Log!$G$5:$G$504,A34,Log!$Z$5:$Z$504,"Open")+COUNTIFS(Log!$G$5:$G$504,A34,Log!$Z$5:$Z$504,"Open: overdue")</f>
        <v/>
      </c>
      <c r="E34" s="50">
        <f>COUNTIFS(Log!$G$5:$G$504,A34,Log!$Z$5:$Z$504,"Open: overdue")</f>
        <v/>
      </c>
    </row>
    <row r="35" ht="15" customHeight="1" s="31">
      <c r="A35" s="52" t="inlineStr">
        <is>
          <t>Fraud or scam</t>
        </is>
      </c>
      <c r="B35" s="50">
        <f>COUNTIF(Log!$G$5:$G$504,A35)</f>
        <v/>
      </c>
      <c r="C35" s="50">
        <f>COUNTIFS(Log!$G$5:$G$504,A35,Log!$L$5:$L$504,"Escalated")</f>
        <v/>
      </c>
      <c r="D35" s="50">
        <f>COUNTIFS(Log!$G$5:$G$504,A35,Log!$Z$5:$Z$504,"Open")+COUNTIFS(Log!$G$5:$G$504,A35,Log!$Z$5:$Z$504,"Open: overdue")</f>
        <v/>
      </c>
      <c r="E35" s="50">
        <f>COUNTIFS(Log!$G$5:$G$504,A35,Log!$Z$5:$Z$504,"Open: overdue")</f>
        <v/>
      </c>
    </row>
    <row r="36" ht="15" customHeight="1" s="31">
      <c r="A36" s="52" t="inlineStr">
        <is>
          <t>Discrimination allegation</t>
        </is>
      </c>
      <c r="B36" s="50">
        <f>COUNTIF(Log!$G$5:$G$504,A36)</f>
        <v/>
      </c>
      <c r="C36" s="50">
        <f>COUNTIFS(Log!$G$5:$G$504,A36,Log!$L$5:$L$504,"Escalated")</f>
        <v/>
      </c>
      <c r="D36" s="50">
        <f>COUNTIFS(Log!$G$5:$G$504,A36,Log!$Z$5:$Z$504,"Open")+COUNTIFS(Log!$G$5:$G$504,A36,Log!$Z$5:$Z$504,"Open: overdue")</f>
        <v/>
      </c>
      <c r="E36" s="50">
        <f>COUNTIFS(Log!$G$5:$G$504,A36,Log!$Z$5:$Z$504,"Open: overdue")</f>
        <v/>
      </c>
    </row>
    <row r="37" ht="15" customHeight="1" s="31">
      <c r="A37" s="52" t="inlineStr">
        <is>
          <t>Other</t>
        </is>
      </c>
      <c r="B37" s="50">
        <f>COUNTIF(Log!$G$5:$G$504,A37)</f>
        <v/>
      </c>
      <c r="C37" s="50">
        <f>COUNTIFS(Log!$G$5:$G$504,A37,Log!$L$5:$L$504,"Escalated")</f>
        <v/>
      </c>
      <c r="D37" s="50">
        <f>COUNTIFS(Log!$G$5:$G$504,A37,Log!$Z$5:$Z$504,"Open")+COUNTIFS(Log!$G$5:$G$504,A37,Log!$Z$5:$Z$504,"Open: overdue")</f>
        <v/>
      </c>
      <c r="E37" s="50">
        <f>COUNTIFS(Log!$G$5:$G$504,A37,Log!$Z$5:$Z$504,"Open: overdue")</f>
        <v/>
      </c>
    </row>
    <row r="39" ht="15" customHeight="1" s="31">
      <c r="A39" s="48" t="inlineStr">
        <is>
          <t>By root cause (resolved complaints)</t>
        </is>
      </c>
    </row>
    <row r="40" ht="23.85" customHeight="1" s="31">
      <c r="A40" s="38" t="inlineStr">
        <is>
          <t>Root cause</t>
        </is>
      </c>
      <c r="B40" s="38" t="inlineStr">
        <is>
          <t>Complaints</t>
        </is>
      </c>
      <c r="C40" s="38" t="inlineStr">
        <is>
          <t>$ refunded / remediated</t>
        </is>
      </c>
    </row>
    <row r="41" ht="15" customHeight="1" s="31">
      <c r="A41" s="52" t="inlineStr">
        <is>
          <t>Employee error</t>
        </is>
      </c>
      <c r="B41" s="50">
        <f>COUNTIF(Log!$V$5:$V$504,A41)</f>
        <v/>
      </c>
      <c r="C41" s="53">
        <f>SUMIF(Log!$V$5:$V$504,A41,Log!$U$5:$U$504)</f>
        <v/>
      </c>
    </row>
    <row r="42" ht="15" customHeight="1" s="31">
      <c r="A42" s="52" t="inlineStr">
        <is>
          <t>Procedure gap or unclear procedure</t>
        </is>
      </c>
      <c r="B42" s="50">
        <f>COUNTIF(Log!$V$5:$V$504,A42)</f>
        <v/>
      </c>
      <c r="C42" s="53">
        <f>SUMIF(Log!$V$5:$V$504,A42,Log!$U$5:$U$504)</f>
        <v/>
      </c>
    </row>
    <row r="43" ht="15" customHeight="1" s="31">
      <c r="A43" s="52" t="inlineStr">
        <is>
          <t>System or technology defect</t>
        </is>
      </c>
      <c r="B43" s="50">
        <f>COUNTIF(Log!$V$5:$V$504,A43)</f>
        <v/>
      </c>
      <c r="C43" s="53">
        <f>SUMIF(Log!$V$5:$V$504,A43,Log!$U$5:$U$504)</f>
        <v/>
      </c>
    </row>
    <row r="44" ht="15" customHeight="1" s="31">
      <c r="A44" s="52" t="inlineStr">
        <is>
          <t>Third-party error</t>
        </is>
      </c>
      <c r="B44" s="50">
        <f>COUNTIF(Log!$V$5:$V$504,A44)</f>
        <v/>
      </c>
      <c r="C44" s="53">
        <f>SUMIF(Log!$V$5:$V$504,A44,Log!$U$5:$U$504)</f>
        <v/>
      </c>
    </row>
    <row r="45" ht="15" customHeight="1" s="31">
      <c r="A45" s="52" t="inlineStr">
        <is>
          <t>Product design or terms</t>
        </is>
      </c>
      <c r="B45" s="50">
        <f>COUNTIF(Log!$V$5:$V$504,A45)</f>
        <v/>
      </c>
      <c r="C45" s="53">
        <f>SUMIF(Log!$V$5:$V$504,A45,Log!$U$5:$U$504)</f>
        <v/>
      </c>
    </row>
    <row r="46" ht="15" customHeight="1" s="31">
      <c r="A46" s="52" t="inlineStr">
        <is>
          <t>Disclosure or communication unclear</t>
        </is>
      </c>
      <c r="B46" s="50">
        <f>COUNTIF(Log!$V$5:$V$504,A46)</f>
        <v/>
      </c>
      <c r="C46" s="53">
        <f>SUMIF(Log!$V$5:$V$504,A46,Log!$U$5:$U$504)</f>
        <v/>
      </c>
    </row>
    <row r="47" ht="15" customHeight="1" s="31">
      <c r="A47" s="52" t="inlineStr">
        <is>
          <t>Policy working as intended</t>
        </is>
      </c>
      <c r="B47" s="50">
        <f>COUNTIF(Log!$V$5:$V$504,A47)</f>
        <v/>
      </c>
      <c r="C47" s="53">
        <f>SUMIF(Log!$V$5:$V$504,A47,Log!$U$5:$U$504)</f>
        <v/>
      </c>
    </row>
    <row r="48" ht="15" customHeight="1" s="31">
      <c r="A48" s="52" t="inlineStr">
        <is>
          <t>Customer misunderstanding</t>
        </is>
      </c>
      <c r="B48" s="50">
        <f>COUNTIF(Log!$V$5:$V$504,A48)</f>
        <v/>
      </c>
      <c r="C48" s="53">
        <f>SUMIF(Log!$V$5:$V$504,A48,Log!$U$5:$U$504)</f>
        <v/>
      </c>
    </row>
    <row r="49" ht="15" customHeight="1" s="31">
      <c r="A49" s="52" t="inlineStr">
        <is>
          <t>Fraud by a third party</t>
        </is>
      </c>
      <c r="B49" s="50">
        <f>COUNTIF(Log!$V$5:$V$504,A49)</f>
        <v/>
      </c>
      <c r="C49" s="53">
        <f>SUMIF(Log!$V$5:$V$504,A49,Log!$U$5:$U$504)</f>
        <v/>
      </c>
    </row>
    <row r="50" ht="15" customHeight="1" s="31">
      <c r="A50" s="52" t="inlineStr">
        <is>
          <t>Undetermined</t>
        </is>
      </c>
      <c r="B50" s="50">
        <f>COUNTIF(Log!$V$5:$V$504,A50)</f>
        <v/>
      </c>
      <c r="C50" s="53">
        <f>SUMIF(Log!$V$5:$V$504,A50,Log!$U$5:$U$504)</f>
        <v/>
      </c>
    </row>
    <row r="52" ht="15" customHeight="1" s="31">
      <c r="A52" s="48" t="inlineStr">
        <is>
          <t>Timeliness and controls</t>
        </is>
      </c>
    </row>
    <row r="53" ht="15" customHeight="1" s="31">
      <c r="A53" s="54" t="inlineStr">
        <is>
          <t>Resolved</t>
        </is>
      </c>
      <c r="B53" s="50">
        <f>COUNTIF(Log!$Z$5:$Z$504,"Closed on time")+COUNTIF(Log!$Z$5:$Z$504,"Closed late")</f>
        <v/>
      </c>
    </row>
    <row r="54" ht="15" customHeight="1" s="31">
      <c r="A54" s="54" t="inlineStr">
        <is>
          <t>Resolved on time %</t>
        </is>
      </c>
      <c r="B54" s="55">
        <f>IF(B53=0,"",COUNTIF(Log!$Z$5:$Z$504,"Closed on time")/B53)</f>
        <v/>
      </c>
    </row>
    <row r="55" ht="15" customHeight="1" s="31">
      <c r="A55" s="54" t="inlineStr">
        <is>
          <t>Open now</t>
        </is>
      </c>
      <c r="B55" s="50">
        <f>COUNTIF(Log!$Z$5:$Z$504,"Open")+COUNTIF(Log!$Z$5:$Z$504,"Open: overdue")</f>
        <v/>
      </c>
    </row>
    <row r="56" ht="15" customHeight="1" s="31">
      <c r="A56" s="54" t="inlineStr">
        <is>
          <t>Open and overdue</t>
        </is>
      </c>
      <c r="B56" s="50">
        <f>COUNTIF(Log!$Z$5:$Z$504,"Open: overdue")</f>
        <v/>
      </c>
    </row>
    <row r="57" ht="15" customHeight="1" s="31">
      <c r="A57" s="54" t="inlineStr">
        <is>
          <t>Legal-notice complaints</t>
        </is>
      </c>
      <c r="B57" s="50">
        <f>COUNTA(Log!$K$5:$K$504)-COUNTIF(Log!$K$5:$K$504,"None")</f>
        <v/>
      </c>
    </row>
    <row r="58" ht="15" customHeight="1" s="31">
      <c r="A58" s="54" t="inlineStr">
        <is>
          <t>Linked to an issue</t>
        </is>
      </c>
      <c r="B58" s="50">
        <f>COUNTA(Log!$W$5:$W$504)</f>
        <v/>
      </c>
    </row>
    <row r="59" ht="15" customHeight="1" s="31">
      <c r="A59" s="54" t="inlineStr">
        <is>
          <t>Log checks flagged</t>
        </is>
      </c>
      <c r="B59" s="50">
        <f>COUNTIF(Log!$AA$5:$AA$504,"?*")</f>
        <v/>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I1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52" customWidth="1" style="30" min="1" max="1"/>
    <col width="12" customWidth="1" style="30" min="2" max="2"/>
    <col width="3" customWidth="1" style="30" min="3" max="3"/>
    <col width="22" customWidth="1" style="30" min="4" max="5"/>
    <col width="32" customWidth="1" style="30" min="6" max="7"/>
    <col width="24" customWidth="1" style="30" min="8" max="8"/>
    <col width="26" customWidth="1" style="30" min="9" max="9"/>
  </cols>
  <sheetData>
    <row r="1" ht="16.15" customHeight="1" s="31">
      <c r="A1" s="47" t="inlineStr">
        <is>
          <t>Settings and Root-Cause Taxonomy (from KCG-GOV-POL-06)</t>
        </is>
      </c>
    </row>
    <row r="2" ht="15" customHeight="1" s="31">
      <c r="A2" s="56" t="inlineStr">
        <is>
          <t>Make the timeframes match Section 7 of your Complaint Management Policy.</t>
        </is>
      </c>
    </row>
    <row r="3" ht="15" customHeight="1" s="31">
      <c r="D3" s="38" t="inlineStr">
        <is>
          <t>Channel</t>
        </is>
      </c>
      <c r="E3" s="38" t="inlineStr">
        <is>
          <t>Escalating channels</t>
        </is>
      </c>
      <c r="F3" s="38" t="inlineStr">
        <is>
          <t>Issue category</t>
        </is>
      </c>
      <c r="G3" s="38" t="inlineStr">
        <is>
          <t>Root cause</t>
        </is>
      </c>
      <c r="H3" s="38" t="inlineStr">
        <is>
          <t>Legal notice</t>
        </is>
      </c>
      <c r="I3" s="38" t="inlineStr">
        <is>
          <t>Outcome</t>
        </is>
      </c>
    </row>
    <row r="4" ht="15" customHeight="1" s="31">
      <c r="A4" s="54" t="inlineStr">
        <is>
          <t>As-of date</t>
        </is>
      </c>
      <c r="B4" s="57">
        <f>TODAY()</f>
        <v/>
      </c>
      <c r="D4" s="52" t="inlineStr">
        <is>
          <t>Phone</t>
        </is>
      </c>
      <c r="E4" s="52" t="inlineStr">
        <is>
          <t>Sponsor Bank</t>
        </is>
      </c>
      <c r="F4" s="52" t="inlineStr">
        <is>
          <t>Account opening / eligibility</t>
        </is>
      </c>
      <c r="G4" s="52" t="inlineStr">
        <is>
          <t>Employee error</t>
        </is>
      </c>
      <c r="H4" s="52" t="inlineStr">
        <is>
          <t>None</t>
        </is>
      </c>
      <c r="I4" s="52" t="inlineStr">
        <is>
          <t>Explained; no error</t>
        </is>
      </c>
    </row>
    <row r="5" ht="15" customHeight="1" s="31">
      <c r="A5" s="54" t="inlineStr">
        <is>
          <t>Log within (business days)</t>
        </is>
      </c>
      <c r="B5" s="58" t="n">
        <v>1</v>
      </c>
      <c r="D5" s="52" t="inlineStr">
        <is>
          <t>Email</t>
        </is>
      </c>
      <c r="E5" s="52" t="inlineStr">
        <is>
          <t>CFPB portal</t>
        </is>
      </c>
      <c r="F5" s="52" t="inlineStr">
        <is>
          <t>Account access, holds, or closure</t>
        </is>
      </c>
      <c r="G5" s="52" t="inlineStr">
        <is>
          <t>Procedure gap or unclear procedure</t>
        </is>
      </c>
      <c r="H5" s="52" t="inlineStr">
        <is>
          <t>Reg E notice of error</t>
        </is>
      </c>
      <c r="I5" s="52" t="inlineStr">
        <is>
          <t>Error corrected</t>
        </is>
      </c>
    </row>
    <row r="6" ht="15" customHeight="1" s="31">
      <c r="A6" s="54" t="inlineStr">
        <is>
          <t>Escalate to Compliance within (business days)</t>
        </is>
      </c>
      <c r="B6" s="58" t="n">
        <v>1</v>
      </c>
      <c r="D6" s="52" t="inlineStr">
        <is>
          <t>Chat / in-app</t>
        </is>
      </c>
      <c r="E6" s="52" t="inlineStr">
        <is>
          <t>State regulator</t>
        </is>
      </c>
      <c r="F6" s="52" t="inlineStr">
        <is>
          <t>Fees and charges</t>
        </is>
      </c>
      <c r="G6" s="52" t="inlineStr">
        <is>
          <t>System or technology defect</t>
        </is>
      </c>
      <c r="H6" s="52" t="inlineStr">
        <is>
          <t>Reg Z billing error</t>
        </is>
      </c>
      <c r="I6" s="52" t="inlineStr">
        <is>
          <t>Refund or credit</t>
        </is>
      </c>
    </row>
    <row r="7" ht="15" customHeight="1" s="31">
      <c r="A7" s="54" t="inlineStr">
        <is>
          <t>Acknowledge within (business days)</t>
        </is>
      </c>
      <c r="B7" s="58" t="n">
        <v>2</v>
      </c>
      <c r="D7" s="52" t="inlineStr">
        <is>
          <t>Mail</t>
        </is>
      </c>
      <c r="E7" s="52" t="inlineStr">
        <is>
          <t>Other regulator or AG</t>
        </is>
      </c>
      <c r="F7" s="52" t="inlineStr">
        <is>
          <t>Transactions and payments</t>
        </is>
      </c>
      <c r="G7" s="52" t="inlineStr">
        <is>
          <t>Third-party error</t>
        </is>
      </c>
      <c r="H7" s="52" t="inlineStr">
        <is>
          <t>FCRA direct dispute</t>
        </is>
      </c>
      <c r="I7" s="52" t="inlineStr">
        <is>
          <t>Account or service change</t>
        </is>
      </c>
    </row>
    <row r="8" ht="15" customHeight="1" s="31">
      <c r="A8" s="54" t="inlineStr">
        <is>
          <t>Resolve standard complaints within (business days)</t>
        </is>
      </c>
      <c r="B8" s="58" t="n">
        <v>15</v>
      </c>
      <c r="D8" s="52" t="inlineStr">
        <is>
          <t>Social media</t>
        </is>
      </c>
      <c r="E8" s="52" t="inlineStr">
        <is>
          <t>Elected official</t>
        </is>
      </c>
      <c r="F8" s="52" t="inlineStr">
        <is>
          <t>Unauthorized transaction or dispute</t>
        </is>
      </c>
      <c r="G8" s="52" t="inlineStr">
        <is>
          <t>Product design or terms</t>
        </is>
      </c>
      <c r="H8" s="52" t="inlineStr">
        <is>
          <t>Reg F debt dispute</t>
        </is>
      </c>
      <c r="I8" s="52" t="inlineStr">
        <is>
          <t>Referred to another party</t>
        </is>
      </c>
    </row>
    <row r="9" ht="15" customHeight="1" s="31">
      <c r="A9" s="54" t="inlineStr">
        <is>
          <t>Resolve escalated complaints within (calendar days)</t>
        </is>
      </c>
      <c r="B9" s="58" t="n">
        <v>15</v>
      </c>
      <c r="D9" s="52" t="inlineStr">
        <is>
          <t>Sponsor Bank</t>
        </is>
      </c>
      <c r="E9" s="52" t="inlineStr">
        <is>
          <t>Better Business Bureau</t>
        </is>
      </c>
      <c r="F9" s="52" t="inlineStr">
        <is>
          <t>Card issues</t>
        </is>
      </c>
      <c r="G9" s="52" t="inlineStr">
        <is>
          <t>Disclosure or communication unclear</t>
        </is>
      </c>
      <c r="H9" s="52" t="inlineStr">
        <is>
          <t>Fair lending allegation</t>
        </is>
      </c>
      <c r="I9" s="52" t="inlineStr">
        <is>
          <t>Withdrawn or no response</t>
        </is>
      </c>
    </row>
    <row r="10" ht="23.85" customHeight="1" s="31">
      <c r="A10" s="54" t="inlineStr">
        <is>
          <t>Notify Sponsor Bank of escalated complaints within (business days)</t>
        </is>
      </c>
      <c r="B10" s="58" t="n">
        <v>2</v>
      </c>
      <c r="D10" s="52" t="inlineStr">
        <is>
          <t>CFPB portal</t>
        </is>
      </c>
      <c r="F10" s="52" t="inlineStr">
        <is>
          <t>Disclosures, marketing, or rewards</t>
        </is>
      </c>
      <c r="G10" s="52" t="inlineStr">
        <is>
          <t>Policy working as intended</t>
        </is>
      </c>
    </row>
    <row r="11" ht="15" customHeight="1" s="31">
      <c r="D11" s="52" t="inlineStr">
        <is>
          <t>State regulator</t>
        </is>
      </c>
      <c r="F11" s="52" t="inlineStr">
        <is>
          <t>Customer service</t>
        </is>
      </c>
      <c r="G11" s="52" t="inlineStr">
        <is>
          <t>Customer misunderstanding</t>
        </is>
      </c>
    </row>
    <row r="12" ht="15" customHeight="1" s="31">
      <c r="D12" s="52" t="inlineStr">
        <is>
          <t>Other regulator or AG</t>
        </is>
      </c>
      <c r="F12" s="52" t="inlineStr">
        <is>
          <t>Credit decision</t>
        </is>
      </c>
      <c r="G12" s="52" t="inlineStr">
        <is>
          <t>Fraud by a third party</t>
        </is>
      </c>
    </row>
    <row r="13" ht="15" customHeight="1" s="31">
      <c r="D13" s="52" t="inlineStr">
        <is>
          <t>Elected official</t>
        </is>
      </c>
      <c r="F13" s="52" t="inlineStr">
        <is>
          <t>Billing or statements</t>
        </is>
      </c>
      <c r="G13" s="52" t="inlineStr">
        <is>
          <t>Undetermined</t>
        </is>
      </c>
    </row>
    <row r="14" ht="15" customHeight="1" s="31">
      <c r="D14" s="52" t="inlineStr">
        <is>
          <t>Better Business Bureau</t>
        </is>
      </c>
      <c r="F14" s="52" t="inlineStr">
        <is>
          <t>Collections</t>
        </is>
      </c>
    </row>
    <row r="15" ht="15" customHeight="1" s="31">
      <c r="D15" s="52" t="inlineStr">
        <is>
          <t>Third party</t>
        </is>
      </c>
      <c r="F15" s="52" t="inlineStr">
        <is>
          <t>Credit reporting</t>
        </is>
      </c>
    </row>
    <row r="16" ht="15" customHeight="1" s="31">
      <c r="F16" s="52" t="inlineStr">
        <is>
          <t>Privacy or data security</t>
        </is>
      </c>
    </row>
    <row r="17" ht="15" customHeight="1" s="31">
      <c r="F17" s="52" t="inlineStr">
        <is>
          <t>Fraud or scam</t>
        </is>
      </c>
    </row>
    <row r="18" ht="15" customHeight="1" s="31">
      <c r="F18" s="52" t="inlineStr">
        <is>
          <t>Discrimination allegation</t>
        </is>
      </c>
    </row>
    <row r="19" ht="15" customHeight="1" s="31">
      <c r="F19" s="52" t="inlineStr">
        <is>
          <t>Other</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Complaint Log</dc:title>
  <dc:subject>KCG-TLS-08</dc:subject>
  <dc:creator>Key Compliance Group, LLC</dc:creator>
  <cp:lastModifiedBy>Mike</cp:lastModifiedBy>
  <dcterms:created xsi:type="dcterms:W3CDTF">2026-10-10T13:44:58Z</dcterms:created>
  <dcterms:modified xsi:type="dcterms:W3CDTF">2026-10-14T16:57:04Z</dcterms:modified>
</cp:coreProperties>
</file>